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9155" windowHeight="7230"/>
  </bookViews>
  <sheets>
    <sheet name="Kartik 070 " sheetId="4" r:id="rId1"/>
    <sheet name="Sheet1" sheetId="1" r:id="rId2"/>
    <sheet name="Sheet2" sheetId="2" r:id="rId3"/>
    <sheet name="Sheet3" sheetId="3" r:id="rId4"/>
  </sheets>
  <definedNames>
    <definedName name="_xlnm.Print_Area" localSheetId="0">'Kartik 070 '!$A$1:$G$50</definedName>
  </definedNames>
  <calcPr calcId="125725"/>
</workbook>
</file>

<file path=xl/calcChain.xml><?xml version="1.0" encoding="utf-8"?>
<calcChain xmlns="http://schemas.openxmlformats.org/spreadsheetml/2006/main">
  <c r="G41" i="4"/>
  <c r="E40"/>
  <c r="C40"/>
  <c r="B40"/>
  <c r="E39"/>
  <c r="C39"/>
  <c r="B39"/>
  <c r="E38"/>
  <c r="D38"/>
  <c r="C38"/>
  <c r="B38"/>
  <c r="D37"/>
  <c r="D41" s="1"/>
  <c r="C37"/>
  <c r="B37"/>
  <c r="E37" s="1"/>
  <c r="E36"/>
  <c r="D36"/>
  <c r="C36"/>
  <c r="B36"/>
  <c r="C35"/>
  <c r="B35"/>
  <c r="E35" s="1"/>
  <c r="E34"/>
  <c r="C34"/>
  <c r="B34"/>
  <c r="E33"/>
  <c r="C33"/>
  <c r="B33"/>
  <c r="E32"/>
  <c r="C32"/>
  <c r="C41" s="1"/>
  <c r="B32"/>
  <c r="B41" s="1"/>
  <c r="G26"/>
  <c r="E25"/>
  <c r="C25"/>
  <c r="B25"/>
  <c r="E24"/>
  <c r="C24"/>
  <c r="B24"/>
  <c r="E23"/>
  <c r="C22"/>
  <c r="B22"/>
  <c r="E22" s="1"/>
  <c r="E21"/>
  <c r="C21"/>
  <c r="B21"/>
  <c r="E20"/>
  <c r="B20"/>
  <c r="C19"/>
  <c r="E19" s="1"/>
  <c r="E18"/>
  <c r="C18"/>
  <c r="B18"/>
  <c r="C17"/>
  <c r="B17"/>
  <c r="E17" s="1"/>
  <c r="D16"/>
  <c r="B16"/>
  <c r="E16" s="1"/>
  <c r="E15"/>
  <c r="D15"/>
  <c r="D26" s="1"/>
  <c r="B15"/>
  <c r="E14"/>
  <c r="C14"/>
  <c r="C26" s="1"/>
  <c r="B14"/>
  <c r="B26" s="1"/>
  <c r="E10"/>
  <c r="D10"/>
  <c r="C10"/>
  <c r="B10"/>
  <c r="E26" l="1"/>
  <c r="E41"/>
</calcChain>
</file>

<file path=xl/sharedStrings.xml><?xml version="1.0" encoding="utf-8"?>
<sst xmlns="http://schemas.openxmlformats.org/spreadsheetml/2006/main" count="58" uniqueCount="47">
  <si>
    <t>Ministry of Health and Population</t>
  </si>
  <si>
    <t>National Centre for AIDS and STD Control</t>
  </si>
  <si>
    <t>Cumulative HIV and AIDS Situation of Nepal</t>
  </si>
  <si>
    <r>
      <t xml:space="preserve">As of Kartik </t>
    </r>
    <r>
      <rPr>
        <b/>
        <sz val="10"/>
        <color indexed="10"/>
        <rFont val="Arial"/>
        <family val="2"/>
      </rPr>
      <t xml:space="preserve">2070 </t>
    </r>
  </si>
  <si>
    <t>Total HIV infections reported</t>
  </si>
  <si>
    <t>Male</t>
  </si>
  <si>
    <t>Female</t>
  </si>
  <si>
    <t>TG</t>
  </si>
  <si>
    <t>Total</t>
  </si>
  <si>
    <t xml:space="preserve">Cases Reported in This Month                </t>
  </si>
  <si>
    <t xml:space="preserve"> Cumulative HIV infection by sub-group and sex</t>
  </si>
  <si>
    <t xml:space="preserve"> Sub-groups</t>
  </si>
  <si>
    <t>Sex Workers (SW)</t>
  </si>
  <si>
    <t>Injecting Drug Users</t>
  </si>
  <si>
    <t>*</t>
  </si>
  <si>
    <t>Men having Sex with Men (MSM)/TG</t>
  </si>
  <si>
    <t>Blood or Organ Recipients</t>
  </si>
  <si>
    <t>Clients of Sex Worker</t>
  </si>
  <si>
    <t>Housewives</t>
  </si>
  <si>
    <t>Male Partners</t>
  </si>
  <si>
    <t>**</t>
  </si>
  <si>
    <t>Migrant Workers</t>
  </si>
  <si>
    <t>Spouse of Migrant</t>
  </si>
  <si>
    <t>Prison Inmates</t>
  </si>
  <si>
    <t>Children</t>
  </si>
  <si>
    <t>Sub-group NOT identified</t>
  </si>
  <si>
    <t xml:space="preserve">  * Mode of Transmission – IDUs or Sexual</t>
  </si>
  <si>
    <t>** Male Partners of FSW/Female IDU/Female Migrant</t>
  </si>
  <si>
    <t xml:space="preserve"> Cumulative HIV infection by age group and sex</t>
  </si>
  <si>
    <t xml:space="preserve"> Age group (Years)</t>
  </si>
  <si>
    <t xml:space="preserve"> 0 - 4</t>
  </si>
  <si>
    <t xml:space="preserve"> 5 - 9</t>
  </si>
  <si>
    <t xml:space="preserve"> 10 - 14</t>
  </si>
  <si>
    <t xml:space="preserve"> 15 - 19</t>
  </si>
  <si>
    <t xml:space="preserve"> 20 - 24</t>
  </si>
  <si>
    <t xml:space="preserve"> 25 - 29</t>
  </si>
  <si>
    <t xml:space="preserve"> 30 - 39</t>
  </si>
  <si>
    <t xml:space="preserve"> 40 - 49</t>
  </si>
  <si>
    <t xml:space="preserve"> 50 - above</t>
  </si>
  <si>
    <t xml:space="preserve"> Total</t>
  </si>
  <si>
    <t>Source: NCASC, 2013 [as of Kartik 2070]</t>
  </si>
  <si>
    <t>For more information contact at :</t>
  </si>
  <si>
    <t>SI Unit, NCASC, Teku, Kathmandu</t>
  </si>
  <si>
    <t>Tel : 01- 4261653</t>
  </si>
  <si>
    <t>Fax : 01- 4215149</t>
  </si>
  <si>
    <t>Email : data@ncasc.gov.np</t>
  </si>
  <si>
    <t>Web : www.ncasc.gov.np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</si>
</sst>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9"/>
      <color indexed="18"/>
      <name val="Arial"/>
      <family val="2"/>
    </font>
    <font>
      <b/>
      <i/>
      <sz val="10"/>
      <name val="Arial"/>
      <family val="2"/>
    </font>
    <font>
      <b/>
      <u/>
      <sz val="11"/>
      <color indexed="10"/>
      <name val="Arial"/>
      <family val="2"/>
    </font>
    <font>
      <b/>
      <sz val="10"/>
      <color indexed="5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164" fontId="6" fillId="2" borderId="8" xfId="1" applyNumberFormat="1" applyFont="1" applyFill="1" applyBorder="1" applyAlignment="1">
      <alignment horizontal="center"/>
    </xf>
    <xf numFmtId="164" fontId="6" fillId="2" borderId="9" xfId="1" applyNumberFormat="1" applyFont="1" applyFill="1" applyBorder="1" applyAlignment="1">
      <alignment horizontal="center"/>
    </xf>
    <xf numFmtId="0" fontId="6" fillId="2" borderId="10" xfId="0" applyFont="1" applyFill="1" applyBorder="1"/>
    <xf numFmtId="0" fontId="2" fillId="2" borderId="11" xfId="0" applyFont="1" applyFill="1" applyBorder="1" applyAlignment="1">
      <alignment horizontal="center"/>
    </xf>
    <xf numFmtId="0" fontId="7" fillId="2" borderId="0" xfId="0" applyFont="1" applyFill="1" applyBorder="1"/>
    <xf numFmtId="164" fontId="6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>
      <alignment horizontal="center"/>
    </xf>
    <xf numFmtId="0" fontId="9" fillId="2" borderId="12" xfId="0" applyFont="1" applyFill="1" applyBorder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/>
    </xf>
    <xf numFmtId="164" fontId="9" fillId="2" borderId="13" xfId="1" applyNumberFormat="1" applyFont="1" applyFill="1" applyBorder="1" applyAlignment="1">
      <alignment horizontal="center" vertical="center"/>
    </xf>
    <xf numFmtId="0" fontId="7" fillId="2" borderId="13" xfId="0" applyFont="1" applyFill="1" applyBorder="1"/>
    <xf numFmtId="164" fontId="0" fillId="0" borderId="0" xfId="0" applyNumberFormat="1"/>
    <xf numFmtId="0" fontId="7" fillId="2" borderId="14" xfId="0" applyFont="1" applyFill="1" applyBorder="1" applyAlignment="1">
      <alignment horizontal="left"/>
    </xf>
    <xf numFmtId="0" fontId="0" fillId="0" borderId="15" xfId="0" applyBorder="1"/>
    <xf numFmtId="164" fontId="7" fillId="2" borderId="16" xfId="1" applyNumberFormat="1" applyFont="1" applyFill="1" applyBorder="1" applyAlignment="1">
      <alignment horizontal="center"/>
    </xf>
    <xf numFmtId="0" fontId="6" fillId="2" borderId="14" xfId="0" applyFont="1" applyFill="1" applyBorder="1"/>
    <xf numFmtId="0" fontId="7" fillId="0" borderId="15" xfId="2" applyBorder="1" applyAlignment="1">
      <alignment horizontal="center" vertical="center"/>
    </xf>
    <xf numFmtId="0" fontId="0" fillId="2" borderId="14" xfId="0" applyFill="1" applyBorder="1" applyAlignment="1">
      <alignment horizontal="left"/>
    </xf>
    <xf numFmtId="0" fontId="0" fillId="0" borderId="14" xfId="0" applyBorder="1"/>
    <xf numFmtId="0" fontId="7" fillId="0" borderId="14" xfId="0" applyFont="1" applyFill="1" applyBorder="1" applyAlignment="1">
      <alignment horizontal="left"/>
    </xf>
    <xf numFmtId="0" fontId="6" fillId="2" borderId="17" xfId="0" applyFont="1" applyFill="1" applyBorder="1"/>
    <xf numFmtId="0" fontId="12" fillId="2" borderId="18" xfId="0" applyFont="1" applyFill="1" applyBorder="1"/>
    <xf numFmtId="0" fontId="6" fillId="2" borderId="19" xfId="0" applyFont="1" applyFill="1" applyBorder="1"/>
    <xf numFmtId="164" fontId="6" fillId="2" borderId="15" xfId="1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3" fillId="2" borderId="5" xfId="0" applyFont="1" applyFill="1" applyBorder="1" applyAlignment="1">
      <alignment vertical="top" wrapText="1"/>
    </xf>
    <xf numFmtId="164" fontId="13" fillId="2" borderId="5" xfId="1" applyNumberFormat="1" applyFont="1" applyFill="1" applyBorder="1" applyAlignment="1">
      <alignment horizontal="center" vertical="top" wrapText="1"/>
    </xf>
    <xf numFmtId="164" fontId="13" fillId="2" borderId="0" xfId="1" applyNumberFormat="1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vertical="top"/>
    </xf>
    <xf numFmtId="164" fontId="13" fillId="2" borderId="0" xfId="1" applyNumberFormat="1" applyFont="1" applyFill="1" applyAlignment="1">
      <alignment horizontal="center" vertical="top" wrapText="1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center" vertical="top" wrapText="1"/>
    </xf>
    <xf numFmtId="0" fontId="9" fillId="2" borderId="21" xfId="0" applyFont="1" applyFill="1" applyBorder="1" applyAlignment="1">
      <alignment horizontal="left" vertical="center"/>
    </xf>
    <xf numFmtId="164" fontId="9" fillId="2" borderId="22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Border="1" applyAlignment="1">
      <alignment horizontal="center" vertical="center"/>
    </xf>
    <xf numFmtId="1" fontId="7" fillId="2" borderId="18" xfId="0" applyNumberFormat="1" applyFont="1" applyFill="1" applyBorder="1"/>
    <xf numFmtId="0" fontId="0" fillId="2" borderId="23" xfId="0" applyFill="1" applyBorder="1" applyAlignment="1">
      <alignment horizontal="center"/>
    </xf>
    <xf numFmtId="0" fontId="2" fillId="0" borderId="8" xfId="0" applyFont="1" applyBorder="1"/>
    <xf numFmtId="0" fontId="6" fillId="2" borderId="2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_Sheet1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50"/>
  <sheetViews>
    <sheetView tabSelected="1" view="pageBreakPreview" zoomScale="60" zoomScaleNormal="100" workbookViewId="0">
      <selection activeCell="F5" sqref="F5"/>
    </sheetView>
  </sheetViews>
  <sheetFormatPr defaultRowHeight="15"/>
  <cols>
    <col min="1" max="1" width="45.42578125" bestFit="1" customWidth="1"/>
    <col min="2" max="2" width="11.28515625" bestFit="1" customWidth="1"/>
    <col min="3" max="3" width="10.140625" bestFit="1" customWidth="1"/>
    <col min="4" max="4" width="9.28515625" bestFit="1" customWidth="1"/>
    <col min="5" max="5" width="11.28515625" bestFit="1" customWidth="1"/>
    <col min="7" max="7" width="9.28515625" bestFit="1" customWidth="1"/>
  </cols>
  <sheetData>
    <row r="2" spans="1:8">
      <c r="A2" s="1"/>
      <c r="B2" s="2"/>
      <c r="C2" s="2"/>
      <c r="D2" s="2"/>
      <c r="E2" s="2"/>
      <c r="F2" s="1"/>
      <c r="G2" s="2"/>
    </row>
    <row r="3" spans="1:8" ht="15.75">
      <c r="A3" s="3" t="s">
        <v>0</v>
      </c>
      <c r="B3" s="3"/>
      <c r="C3" s="3"/>
      <c r="D3" s="3"/>
      <c r="E3" s="3"/>
      <c r="F3" s="3"/>
      <c r="G3" s="3"/>
    </row>
    <row r="4" spans="1:8" ht="15.75">
      <c r="A4" s="3" t="s">
        <v>1</v>
      </c>
      <c r="B4" s="3"/>
      <c r="C4" s="3"/>
      <c r="D4" s="3"/>
      <c r="E4" s="3"/>
      <c r="F4" s="3"/>
      <c r="G4" s="3"/>
    </row>
    <row r="5" spans="1:8">
      <c r="A5" s="4"/>
      <c r="B5" s="4"/>
      <c r="C5" s="4"/>
      <c r="D5" s="4"/>
      <c r="E5" s="4"/>
      <c r="F5" s="4"/>
      <c r="G5" s="4"/>
    </row>
    <row r="6" spans="1:8">
      <c r="A6" s="5" t="s">
        <v>2</v>
      </c>
      <c r="B6" s="5"/>
      <c r="C6" s="5"/>
      <c r="D6" s="5"/>
      <c r="E6" s="5"/>
      <c r="F6" s="5"/>
      <c r="G6" s="5"/>
    </row>
    <row r="7" spans="1:8">
      <c r="A7" s="6" t="s">
        <v>3</v>
      </c>
      <c r="B7" s="6"/>
      <c r="C7" s="6"/>
      <c r="D7" s="6"/>
      <c r="E7" s="6"/>
      <c r="F7" s="6"/>
      <c r="G7" s="6"/>
    </row>
    <row r="8" spans="1:8" ht="15.75" thickBot="1">
      <c r="A8" s="7"/>
      <c r="B8" s="8"/>
      <c r="C8" s="8"/>
      <c r="D8" s="9"/>
      <c r="E8" s="8"/>
      <c r="F8" s="7"/>
    </row>
    <row r="9" spans="1:8" ht="45.75" thickTop="1">
      <c r="A9" s="10" t="s">
        <v>4</v>
      </c>
      <c r="B9" s="11" t="s">
        <v>5</v>
      </c>
      <c r="C9" s="11" t="s">
        <v>6</v>
      </c>
      <c r="D9" s="12" t="s">
        <v>7</v>
      </c>
      <c r="E9" s="13" t="s">
        <v>8</v>
      </c>
      <c r="F9" s="13"/>
      <c r="G9" s="14" t="s">
        <v>9</v>
      </c>
    </row>
    <row r="10" spans="1:8" ht="15.75" thickBot="1">
      <c r="A10" s="15"/>
      <c r="B10" s="16">
        <f>14560+111+95+104+123</f>
        <v>14993</v>
      </c>
      <c r="C10" s="17">
        <f>8408+81+75+81+84</f>
        <v>8729</v>
      </c>
      <c r="D10" s="17">
        <f>26+1+1+2</f>
        <v>30</v>
      </c>
      <c r="E10" s="17">
        <f>B10+C10+D10</f>
        <v>23752</v>
      </c>
      <c r="F10" s="18"/>
      <c r="G10" s="19">
        <v>209</v>
      </c>
    </row>
    <row r="11" spans="1:8" ht="15.75" thickTop="1">
      <c r="A11" s="20"/>
      <c r="B11" s="21"/>
      <c r="C11" s="21"/>
      <c r="D11" s="21"/>
      <c r="E11" s="21"/>
      <c r="F11" s="22"/>
      <c r="G11" s="23"/>
    </row>
    <row r="12" spans="1:8" ht="15.75" thickBot="1">
      <c r="A12" s="24" t="s">
        <v>10</v>
      </c>
      <c r="B12" s="25"/>
      <c r="C12" s="25"/>
      <c r="D12" s="25"/>
      <c r="E12" s="25"/>
      <c r="F12" s="7"/>
    </row>
    <row r="13" spans="1:8" ht="45.75" thickTop="1">
      <c r="A13" s="26" t="s">
        <v>11</v>
      </c>
      <c r="B13" s="27" t="s">
        <v>5</v>
      </c>
      <c r="C13" s="27" t="s">
        <v>6</v>
      </c>
      <c r="D13" s="27" t="s">
        <v>7</v>
      </c>
      <c r="E13" s="28" t="s">
        <v>8</v>
      </c>
      <c r="F13" s="29"/>
      <c r="G13" s="14" t="s">
        <v>9</v>
      </c>
      <c r="H13" s="30"/>
    </row>
    <row r="14" spans="1:8">
      <c r="A14" s="31" t="s">
        <v>12</v>
      </c>
      <c r="B14" s="32">
        <f>68+1+3+2</f>
        <v>74</v>
      </c>
      <c r="C14" s="32">
        <f>1097+8+2</f>
        <v>1107</v>
      </c>
      <c r="D14" s="32">
        <v>0</v>
      </c>
      <c r="E14" s="33">
        <f>B14+C14+D14</f>
        <v>1181</v>
      </c>
      <c r="F14" s="34"/>
      <c r="G14" s="35">
        <v>4</v>
      </c>
      <c r="H14" s="30"/>
    </row>
    <row r="15" spans="1:8">
      <c r="A15" s="31" t="s">
        <v>13</v>
      </c>
      <c r="B15" s="32">
        <f>2866+3+2+3+3</f>
        <v>2877</v>
      </c>
      <c r="C15" s="32">
        <v>71</v>
      </c>
      <c r="D15" s="32">
        <f>6+2</f>
        <v>8</v>
      </c>
      <c r="E15" s="33">
        <f t="shared" ref="E15:E26" si="0">B15+C15+D15</f>
        <v>2956</v>
      </c>
      <c r="F15" s="34" t="s">
        <v>14</v>
      </c>
      <c r="G15" s="35">
        <v>5</v>
      </c>
      <c r="H15" s="30"/>
    </row>
    <row r="16" spans="1:8">
      <c r="A16" s="31" t="s">
        <v>15</v>
      </c>
      <c r="B16" s="32">
        <f>285+5+3+4+2</f>
        <v>299</v>
      </c>
      <c r="C16" s="32">
        <v>1</v>
      </c>
      <c r="D16" s="32">
        <f>17+1+1</f>
        <v>19</v>
      </c>
      <c r="E16" s="33">
        <f t="shared" si="0"/>
        <v>319</v>
      </c>
      <c r="F16" s="34"/>
      <c r="G16" s="35">
        <v>3</v>
      </c>
      <c r="H16" s="30"/>
    </row>
    <row r="17" spans="1:8">
      <c r="A17" s="36" t="s">
        <v>16</v>
      </c>
      <c r="B17" s="32">
        <f>61+2+1+3</f>
        <v>67</v>
      </c>
      <c r="C17" s="32">
        <f>25+1</f>
        <v>26</v>
      </c>
      <c r="D17" s="32">
        <v>0</v>
      </c>
      <c r="E17" s="33">
        <f t="shared" si="0"/>
        <v>93</v>
      </c>
      <c r="F17" s="34"/>
      <c r="G17" s="35">
        <v>3</v>
      </c>
      <c r="H17" s="30"/>
    </row>
    <row r="18" spans="1:8">
      <c r="A18" s="31" t="s">
        <v>17</v>
      </c>
      <c r="B18" s="32">
        <f>8985+29+27+28+26</f>
        <v>9095</v>
      </c>
      <c r="C18" s="32">
        <f>141+1</f>
        <v>142</v>
      </c>
      <c r="D18" s="32">
        <v>0</v>
      </c>
      <c r="E18" s="33">
        <f t="shared" si="0"/>
        <v>9237</v>
      </c>
      <c r="F18" s="34"/>
      <c r="G18" s="35">
        <v>26</v>
      </c>
      <c r="H18" s="30"/>
    </row>
    <row r="19" spans="1:8">
      <c r="A19" s="31" t="s">
        <v>18</v>
      </c>
      <c r="B19" s="32">
        <v>0</v>
      </c>
      <c r="C19" s="32">
        <f>5721+36+37</f>
        <v>5794</v>
      </c>
      <c r="D19" s="32">
        <v>1</v>
      </c>
      <c r="E19" s="33">
        <f t="shared" si="0"/>
        <v>5795</v>
      </c>
      <c r="F19" s="34"/>
      <c r="G19" s="35">
        <v>37</v>
      </c>
      <c r="H19" s="30"/>
    </row>
    <row r="20" spans="1:8">
      <c r="A20" s="31" t="s">
        <v>19</v>
      </c>
      <c r="B20" s="32">
        <f>125+2+4+1+5</f>
        <v>137</v>
      </c>
      <c r="C20" s="32">
        <v>0</v>
      </c>
      <c r="D20" s="32">
        <v>0</v>
      </c>
      <c r="E20" s="33">
        <f t="shared" si="0"/>
        <v>137</v>
      </c>
      <c r="F20" s="34" t="s">
        <v>20</v>
      </c>
      <c r="G20" s="35">
        <v>5</v>
      </c>
      <c r="H20" s="30"/>
    </row>
    <row r="21" spans="1:8">
      <c r="A21" s="31" t="s">
        <v>21</v>
      </c>
      <c r="B21" s="32">
        <f>944+47+44+36+62</f>
        <v>1133</v>
      </c>
      <c r="C21" s="32">
        <f>43+3+2+2</f>
        <v>50</v>
      </c>
      <c r="D21" s="32">
        <v>0</v>
      </c>
      <c r="E21" s="33">
        <f t="shared" si="0"/>
        <v>1183</v>
      </c>
      <c r="F21" s="34"/>
      <c r="G21" s="35">
        <v>64</v>
      </c>
      <c r="H21" s="30"/>
    </row>
    <row r="22" spans="1:8">
      <c r="A22" s="31" t="s">
        <v>22</v>
      </c>
      <c r="B22" s="32">
        <f>35+1+1</f>
        <v>37</v>
      </c>
      <c r="C22" s="32">
        <f>661+23+31</f>
        <v>715</v>
      </c>
      <c r="D22" s="32">
        <v>0</v>
      </c>
      <c r="E22" s="33">
        <f t="shared" si="0"/>
        <v>752</v>
      </c>
      <c r="F22" s="34"/>
      <c r="G22" s="35">
        <v>32</v>
      </c>
      <c r="H22" s="30"/>
    </row>
    <row r="23" spans="1:8">
      <c r="A23" s="31" t="s">
        <v>23</v>
      </c>
      <c r="B23" s="32">
        <v>0</v>
      </c>
      <c r="C23" s="32">
        <v>0</v>
      </c>
      <c r="D23" s="32">
        <v>0</v>
      </c>
      <c r="E23" s="33">
        <f t="shared" si="0"/>
        <v>0</v>
      </c>
      <c r="F23" s="37"/>
      <c r="G23" s="35">
        <v>0</v>
      </c>
      <c r="H23" s="30"/>
    </row>
    <row r="24" spans="1:8">
      <c r="A24" s="38" t="s">
        <v>24</v>
      </c>
      <c r="B24" s="32">
        <f>980+11+8+10+12</f>
        <v>1021</v>
      </c>
      <c r="C24" s="32">
        <f>647+5+8+7+5</f>
        <v>672</v>
      </c>
      <c r="D24" s="32">
        <v>0</v>
      </c>
      <c r="E24" s="33">
        <f t="shared" si="0"/>
        <v>1693</v>
      </c>
      <c r="F24" s="39"/>
      <c r="G24" s="35">
        <v>17</v>
      </c>
      <c r="H24" s="30"/>
    </row>
    <row r="25" spans="1:8">
      <c r="A25" s="40" t="s">
        <v>25</v>
      </c>
      <c r="B25" s="32">
        <f>211+12+5+18+7</f>
        <v>253</v>
      </c>
      <c r="C25" s="32">
        <f>138+7+6</f>
        <v>151</v>
      </c>
      <c r="D25" s="32">
        <v>2</v>
      </c>
      <c r="E25" s="33">
        <f t="shared" si="0"/>
        <v>406</v>
      </c>
      <c r="F25" s="34"/>
      <c r="G25" s="35">
        <v>13</v>
      </c>
      <c r="H25" s="30"/>
    </row>
    <row r="26" spans="1:8" ht="15.75" thickBot="1">
      <c r="A26" s="41" t="s">
        <v>8</v>
      </c>
      <c r="B26" s="42">
        <f>SUM(B14:B25)</f>
        <v>14993</v>
      </c>
      <c r="C26" s="42">
        <f t="shared" ref="C26:D26" si="1">SUM(C14:C25)</f>
        <v>8729</v>
      </c>
      <c r="D26" s="42">
        <f t="shared" si="1"/>
        <v>30</v>
      </c>
      <c r="E26" s="33">
        <f t="shared" si="0"/>
        <v>23752</v>
      </c>
      <c r="F26" s="18"/>
      <c r="G26" s="43">
        <f>SUM(G14:G25)</f>
        <v>209</v>
      </c>
      <c r="H26" s="30"/>
    </row>
    <row r="27" spans="1:8" ht="15.75" thickTop="1">
      <c r="A27" s="44" t="s">
        <v>26</v>
      </c>
      <c r="B27" s="45"/>
      <c r="C27" s="46"/>
      <c r="D27" s="46"/>
      <c r="E27" s="46"/>
      <c r="F27" s="47"/>
      <c r="G27" s="48"/>
    </row>
    <row r="28" spans="1:8">
      <c r="A28" s="49" t="s">
        <v>27</v>
      </c>
      <c r="B28" s="50"/>
      <c r="C28" s="50"/>
      <c r="D28" s="50"/>
      <c r="E28" s="50"/>
      <c r="F28" s="51"/>
      <c r="G28" s="52"/>
    </row>
    <row r="29" spans="1:8">
      <c r="A29" s="49"/>
      <c r="B29" s="50"/>
      <c r="C29" s="50"/>
      <c r="D29" s="50"/>
      <c r="E29" s="50"/>
      <c r="F29" s="51"/>
      <c r="G29" s="52"/>
    </row>
    <row r="30" spans="1:8" ht="15.75" thickBot="1">
      <c r="A30" s="24" t="s">
        <v>28</v>
      </c>
      <c r="B30" s="25"/>
      <c r="C30" s="25"/>
      <c r="D30" s="25"/>
      <c r="E30" s="25"/>
      <c r="F30" s="7"/>
    </row>
    <row r="31" spans="1:8" ht="45.75" thickTop="1">
      <c r="A31" s="53" t="s">
        <v>29</v>
      </c>
      <c r="B31" s="27" t="s">
        <v>5</v>
      </c>
      <c r="C31" s="27" t="s">
        <v>6</v>
      </c>
      <c r="D31" s="54" t="s">
        <v>7</v>
      </c>
      <c r="E31" s="54" t="s">
        <v>8</v>
      </c>
      <c r="F31" s="29"/>
      <c r="G31" s="14" t="s">
        <v>9</v>
      </c>
      <c r="H31" s="55"/>
    </row>
    <row r="32" spans="1:8">
      <c r="A32" s="56" t="s">
        <v>30</v>
      </c>
      <c r="B32" s="32">
        <f>374+2+3+3+7</f>
        <v>389</v>
      </c>
      <c r="C32" s="32">
        <f>222+1+3+2</f>
        <v>228</v>
      </c>
      <c r="D32" s="32">
        <v>0</v>
      </c>
      <c r="E32" s="33">
        <f>B32+C32+D32</f>
        <v>617</v>
      </c>
      <c r="F32" s="34"/>
      <c r="G32" s="57">
        <v>9</v>
      </c>
      <c r="H32" s="30"/>
    </row>
    <row r="33" spans="1:8">
      <c r="A33" s="56" t="s">
        <v>31</v>
      </c>
      <c r="B33" s="32">
        <f>412+5+3+3+4</f>
        <v>427</v>
      </c>
      <c r="C33" s="32">
        <f>292+1+5+3+1</f>
        <v>302</v>
      </c>
      <c r="D33" s="32">
        <v>0</v>
      </c>
      <c r="E33" s="33">
        <f t="shared" ref="E33:E41" si="2">B33+C33+D33</f>
        <v>729</v>
      </c>
      <c r="F33" s="34"/>
      <c r="G33" s="57">
        <v>5</v>
      </c>
      <c r="H33" s="30"/>
    </row>
    <row r="34" spans="1:8">
      <c r="A34" s="56" t="s">
        <v>32</v>
      </c>
      <c r="B34" s="32">
        <f>188+6+3+4+2</f>
        <v>203</v>
      </c>
      <c r="C34" s="32">
        <f>130+4+2+1</f>
        <v>137</v>
      </c>
      <c r="D34" s="32">
        <v>0</v>
      </c>
      <c r="E34" s="33">
        <f t="shared" si="2"/>
        <v>340</v>
      </c>
      <c r="F34" s="34"/>
      <c r="G34" s="57">
        <v>3</v>
      </c>
      <c r="H34" s="30"/>
    </row>
    <row r="35" spans="1:8">
      <c r="A35" s="56" t="s">
        <v>33</v>
      </c>
      <c r="B35" s="32">
        <f>325+2+1+3+2</f>
        <v>333</v>
      </c>
      <c r="C35" s="32">
        <f>366+3+2+2+2</f>
        <v>375</v>
      </c>
      <c r="D35" s="32">
        <v>3</v>
      </c>
      <c r="E35" s="33">
        <f t="shared" si="2"/>
        <v>711</v>
      </c>
      <c r="F35" s="34"/>
      <c r="G35" s="57">
        <v>4</v>
      </c>
      <c r="H35" s="30"/>
    </row>
    <row r="36" spans="1:8">
      <c r="A36" s="56" t="s">
        <v>34</v>
      </c>
      <c r="B36" s="32">
        <f>1573+4+7+5+4</f>
        <v>1593</v>
      </c>
      <c r="C36" s="32">
        <f>1229+8+9+6+3</f>
        <v>1255</v>
      </c>
      <c r="D36" s="32">
        <f>4+2</f>
        <v>6</v>
      </c>
      <c r="E36" s="33">
        <f t="shared" si="2"/>
        <v>2854</v>
      </c>
      <c r="F36" s="34"/>
      <c r="G36" s="57">
        <v>9</v>
      </c>
      <c r="H36" s="30"/>
    </row>
    <row r="37" spans="1:8">
      <c r="A37" s="56" t="s">
        <v>35</v>
      </c>
      <c r="B37" s="32">
        <f>2917+16+14+14+23</f>
        <v>2984</v>
      </c>
      <c r="C37" s="32">
        <f>1862+10+10+17+20</f>
        <v>1919</v>
      </c>
      <c r="D37" s="32">
        <f>4+1</f>
        <v>5</v>
      </c>
      <c r="E37" s="33">
        <f t="shared" si="2"/>
        <v>4908</v>
      </c>
      <c r="F37" s="34"/>
      <c r="G37" s="57">
        <v>43</v>
      </c>
      <c r="H37" s="30"/>
    </row>
    <row r="38" spans="1:8">
      <c r="A38" s="56" t="s">
        <v>36</v>
      </c>
      <c r="B38" s="32">
        <f>5840+41+32+38+41</f>
        <v>5992</v>
      </c>
      <c r="C38" s="32">
        <f>2983+30+28+32+34</f>
        <v>3107</v>
      </c>
      <c r="D38" s="32">
        <f>10+1</f>
        <v>11</v>
      </c>
      <c r="E38" s="33">
        <f t="shared" si="2"/>
        <v>9110</v>
      </c>
      <c r="F38" s="34"/>
      <c r="G38" s="57">
        <v>75</v>
      </c>
      <c r="H38" s="30"/>
    </row>
    <row r="39" spans="1:8">
      <c r="A39" s="56" t="s">
        <v>37</v>
      </c>
      <c r="B39" s="32">
        <f>2244+24+26+26+31</f>
        <v>2351</v>
      </c>
      <c r="C39" s="32">
        <f>1026+19+12+17+15</f>
        <v>1089</v>
      </c>
      <c r="D39" s="32">
        <v>4</v>
      </c>
      <c r="E39" s="33">
        <f t="shared" si="2"/>
        <v>3444</v>
      </c>
      <c r="F39" s="34"/>
      <c r="G39" s="57">
        <v>46</v>
      </c>
      <c r="H39" s="30"/>
    </row>
    <row r="40" spans="1:8">
      <c r="A40" s="56" t="s">
        <v>38</v>
      </c>
      <c r="B40" s="32">
        <f>687+11+6+8+9</f>
        <v>721</v>
      </c>
      <c r="C40" s="32">
        <f>298+6+6+1+6</f>
        <v>317</v>
      </c>
      <c r="D40" s="32">
        <v>1</v>
      </c>
      <c r="E40" s="33">
        <f t="shared" si="2"/>
        <v>1039</v>
      </c>
      <c r="F40" s="34"/>
      <c r="G40" s="57">
        <v>15</v>
      </c>
      <c r="H40" s="30"/>
    </row>
    <row r="41" spans="1:8" ht="15.75" thickBot="1">
      <c r="A41" s="41" t="s">
        <v>39</v>
      </c>
      <c r="B41" s="16">
        <f>SUM(B32:B40)</f>
        <v>14993</v>
      </c>
      <c r="C41" s="16">
        <f>SUM(C32:C40)</f>
        <v>8729</v>
      </c>
      <c r="D41" s="58">
        <f>SUM(D32:D40)</f>
        <v>30</v>
      </c>
      <c r="E41" s="17">
        <f t="shared" si="2"/>
        <v>23752</v>
      </c>
      <c r="F41" s="18"/>
      <c r="G41" s="59">
        <f>SUM(G32:G40)</f>
        <v>209</v>
      </c>
      <c r="H41" s="30"/>
    </row>
    <row r="42" spans="1:8" ht="15.75" thickTop="1">
      <c r="A42" s="7"/>
      <c r="B42" s="8"/>
      <c r="C42" s="8"/>
      <c r="D42" s="8"/>
      <c r="E42" s="8"/>
      <c r="F42" s="7"/>
    </row>
    <row r="43" spans="1:8">
      <c r="A43" s="60" t="s">
        <v>40</v>
      </c>
      <c r="B43" s="60"/>
      <c r="C43" s="60"/>
      <c r="D43" s="60"/>
      <c r="E43" s="60"/>
      <c r="F43" s="60"/>
      <c r="G43" s="61"/>
    </row>
    <row r="44" spans="1:8">
      <c r="A44" s="62" t="s">
        <v>41</v>
      </c>
      <c r="G44" s="61"/>
    </row>
    <row r="45" spans="1:8">
      <c r="A45" s="63" t="s">
        <v>42</v>
      </c>
      <c r="B45" s="64"/>
      <c r="G45" s="61"/>
    </row>
    <row r="46" spans="1:8">
      <c r="A46" s="63" t="s">
        <v>43</v>
      </c>
      <c r="B46" s="64"/>
      <c r="G46" s="61"/>
    </row>
    <row r="47" spans="1:8">
      <c r="A47" s="63" t="s">
        <v>44</v>
      </c>
      <c r="B47" s="64"/>
      <c r="G47" s="61"/>
    </row>
    <row r="48" spans="1:8">
      <c r="A48" s="63" t="s">
        <v>45</v>
      </c>
      <c r="B48" s="64"/>
      <c r="G48" s="61"/>
    </row>
    <row r="49" spans="1:7">
      <c r="A49" s="63" t="s">
        <v>46</v>
      </c>
      <c r="B49" s="64"/>
      <c r="G49" s="61"/>
    </row>
    <row r="50" spans="1:7">
      <c r="G50" s="61"/>
    </row>
  </sheetData>
  <sheetProtection password="84CA" sheet="1" objects="1" scenarios="1"/>
  <mergeCells count="6">
    <mergeCell ref="A3:G3"/>
    <mergeCell ref="A4:G4"/>
    <mergeCell ref="A6:G6"/>
    <mergeCell ref="A7:G7"/>
    <mergeCell ref="A9:A10"/>
    <mergeCell ref="A43:F43"/>
  </mergeCells>
  <pageMargins left="0.7" right="0.7" top="0.75" bottom="0.75" header="0.3" footer="0.3"/>
  <pageSetup scale="82" orientation="portrait" verticalDpi="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Kartik 070 </vt:lpstr>
      <vt:lpstr>Sheet1</vt:lpstr>
      <vt:lpstr>Sheet2</vt:lpstr>
      <vt:lpstr>Sheet3</vt:lpstr>
      <vt:lpstr>'Kartik 070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Upendra</dc:creator>
  <cp:lastModifiedBy>Upendra</cp:lastModifiedBy>
  <dcterms:created xsi:type="dcterms:W3CDTF">2014-09-21T07:34:43Z</dcterms:created>
  <dcterms:modified xsi:type="dcterms:W3CDTF">2014-09-21T07:35:16Z</dcterms:modified>
</cp:coreProperties>
</file>