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155" windowHeight="7230" activeTab="2"/>
  </bookViews>
  <sheets>
    <sheet name="Mangsir 070" sheetId="4" r:id="rId1"/>
    <sheet name="Poush 070" sheetId="1" r:id="rId2"/>
    <sheet name="Magh 2070" sheetId="2" r:id="rId3"/>
    <sheet name="Falgun 2070" sheetId="5" r:id="rId4"/>
    <sheet name="Chaitra 070" sheetId="6" r:id="rId5"/>
    <sheet name="Baishakh 071" sheetId="7" r:id="rId6"/>
    <sheet name="Jestha 071" sheetId="8" r:id="rId7"/>
    <sheet name="Asar 071" sheetId="9" r:id="rId8"/>
  </sheets>
  <definedNames>
    <definedName name="_xlnm.Print_Area" localSheetId="0">'Mangsir 070'!$A$1:$G$50</definedName>
  </definedNames>
  <calcPr calcId="124519"/>
</workbook>
</file>

<file path=xl/calcChain.xml><?xml version="1.0" encoding="utf-8"?>
<calcChain xmlns="http://schemas.openxmlformats.org/spreadsheetml/2006/main">
  <c r="B25" i="5"/>
  <c r="B25" i="6" s="1"/>
  <c r="B25" i="7" s="1"/>
  <c r="B25" i="8" s="1"/>
  <c r="B25" i="9" s="1"/>
  <c r="B24" i="5"/>
  <c r="B24" i="6" s="1"/>
  <c r="B24" i="7" s="1"/>
  <c r="B24" i="8" s="1"/>
  <c r="B24" i="9" s="1"/>
  <c r="B22" i="5"/>
  <c r="B22" i="6" s="1"/>
  <c r="B22" i="7" s="1"/>
  <c r="B22" i="8" s="1"/>
  <c r="B22" i="9" s="1"/>
  <c r="B21" i="5"/>
  <c r="B21" i="6" s="1"/>
  <c r="B21" i="7" s="1"/>
  <c r="B21" i="8" s="1"/>
  <c r="B21" i="9" s="1"/>
  <c r="B20" i="5"/>
  <c r="B20" i="6" s="1"/>
  <c r="B20" i="7" s="1"/>
  <c r="B20" i="8" s="1"/>
  <c r="B20" i="9" s="1"/>
  <c r="B18" i="5"/>
  <c r="B18" i="6" s="1"/>
  <c r="B18" i="7" s="1"/>
  <c r="B18" i="8" s="1"/>
  <c r="B18" i="9" s="1"/>
  <c r="B16" i="5"/>
  <c r="B16" i="6" s="1"/>
  <c r="B16" i="7" s="1"/>
  <c r="B16" i="8" s="1"/>
  <c r="B16" i="9" s="1"/>
  <c r="D16" i="2"/>
  <c r="D26" s="1"/>
  <c r="B25"/>
  <c r="B24"/>
  <c r="B21"/>
  <c r="B20"/>
  <c r="B18"/>
  <c r="E18" s="1"/>
  <c r="B16"/>
  <c r="E16" s="1"/>
  <c r="B15"/>
  <c r="B14"/>
  <c r="C25"/>
  <c r="C25" i="5" s="1"/>
  <c r="C25" i="6" s="1"/>
  <c r="C25" i="7" s="1"/>
  <c r="C25" i="8" s="1"/>
  <c r="C25" i="9" s="1"/>
  <c r="C24" i="2"/>
  <c r="C24" i="5" s="1"/>
  <c r="C24" i="6" s="1"/>
  <c r="C24" i="7" s="1"/>
  <c r="C24" i="8" s="1"/>
  <c r="C24" i="9" s="1"/>
  <c r="C22" i="2"/>
  <c r="C22" i="5" s="1"/>
  <c r="C22" i="6" s="1"/>
  <c r="C22" i="7" s="1"/>
  <c r="C22" i="8" s="1"/>
  <c r="C22" i="9" s="1"/>
  <c r="C21" i="2"/>
  <c r="C21" i="5" s="1"/>
  <c r="C21" i="6" s="1"/>
  <c r="C21" i="7" s="1"/>
  <c r="C21" i="8" s="1"/>
  <c r="C21" i="9" s="1"/>
  <c r="C19" i="2"/>
  <c r="E19" s="1"/>
  <c r="C18"/>
  <c r="C17"/>
  <c r="C14"/>
  <c r="D38"/>
  <c r="D37"/>
  <c r="B40"/>
  <c r="B39"/>
  <c r="B38"/>
  <c r="B38" i="5" s="1"/>
  <c r="B38" i="6" s="1"/>
  <c r="B38" i="7" s="1"/>
  <c r="B38" i="8" s="1"/>
  <c r="B38" i="9" s="1"/>
  <c r="B37" i="2"/>
  <c r="B37" i="5" s="1"/>
  <c r="B37" i="6" s="1"/>
  <c r="B37" i="7" s="1"/>
  <c r="B37" i="8" s="1"/>
  <c r="B37" i="9" s="1"/>
  <c r="B36" i="2"/>
  <c r="B35"/>
  <c r="E35" s="1"/>
  <c r="E35" i="5" s="1"/>
  <c r="B34" i="2"/>
  <c r="E34" s="1"/>
  <c r="E34" i="5" s="1"/>
  <c r="B33" i="2"/>
  <c r="B33" i="5" s="1"/>
  <c r="B33" i="6" s="1"/>
  <c r="B33" i="7" s="1"/>
  <c r="B33" i="8" s="1"/>
  <c r="B33" i="9" s="1"/>
  <c r="B32" i="2"/>
  <c r="B32" i="5" s="1"/>
  <c r="B32" i="6" s="1"/>
  <c r="B32" i="7" s="1"/>
  <c r="B32" i="8" s="1"/>
  <c r="B32" i="9" s="1"/>
  <c r="C40" i="2"/>
  <c r="C39"/>
  <c r="C39" i="5" s="1"/>
  <c r="C39" i="6" s="1"/>
  <c r="C39" i="7" s="1"/>
  <c r="C39" i="8" s="1"/>
  <c r="C39" i="9" s="1"/>
  <c r="C38" i="2"/>
  <c r="C37"/>
  <c r="C36"/>
  <c r="C35"/>
  <c r="C34"/>
  <c r="C33"/>
  <c r="C32"/>
  <c r="C32" i="5" s="1"/>
  <c r="C32" i="6" s="1"/>
  <c r="C32" i="7" s="1"/>
  <c r="C32" i="8" s="1"/>
  <c r="C32" i="9" s="1"/>
  <c r="D10" i="2"/>
  <c r="B10"/>
  <c r="B10" i="5" s="1"/>
  <c r="B10" i="6" s="1"/>
  <c r="B10" i="7" s="1"/>
  <c r="B10" i="8" s="1"/>
  <c r="B10" i="9" s="1"/>
  <c r="C10" i="2"/>
  <c r="G41"/>
  <c r="C40" i="5"/>
  <c r="C40" i="6" s="1"/>
  <c r="C40" i="7" s="1"/>
  <c r="C40" i="8" s="1"/>
  <c r="C40" i="9" s="1"/>
  <c r="E40" i="2"/>
  <c r="E40" i="5" s="1"/>
  <c r="D39" i="2"/>
  <c r="B39" i="5"/>
  <c r="B39" i="6" s="1"/>
  <c r="B39" i="7" s="1"/>
  <c r="B39" i="8" s="1"/>
  <c r="B39" i="9" s="1"/>
  <c r="D36" i="2"/>
  <c r="C36" i="5"/>
  <c r="C36" i="6" s="1"/>
  <c r="C36" i="7" s="1"/>
  <c r="C36" i="8" s="1"/>
  <c r="C36" i="9" s="1"/>
  <c r="E33" i="2"/>
  <c r="E33" i="5" s="1"/>
  <c r="C33"/>
  <c r="C33" i="6" s="1"/>
  <c r="C33" i="7" s="1"/>
  <c r="C33" i="8" s="1"/>
  <c r="C33" i="9" s="1"/>
  <c r="B41" i="2"/>
  <c r="G26"/>
  <c r="E23"/>
  <c r="E22"/>
  <c r="B22"/>
  <c r="E21"/>
  <c r="E20"/>
  <c r="C18" i="5"/>
  <c r="C18" i="6" s="1"/>
  <c r="C18" i="7" s="1"/>
  <c r="C18" i="8" s="1"/>
  <c r="C18" i="9" s="1"/>
  <c r="C17" i="5"/>
  <c r="C17" i="6" s="1"/>
  <c r="C17" i="7" s="1"/>
  <c r="C17" i="8" s="1"/>
  <c r="C17" i="9" s="1"/>
  <c r="B17" i="2"/>
  <c r="E17" s="1"/>
  <c r="E15"/>
  <c r="D15"/>
  <c r="C15"/>
  <c r="B15" i="5"/>
  <c r="B15" i="6" s="1"/>
  <c r="B15" i="7" s="1"/>
  <c r="B15" i="8" s="1"/>
  <c r="B15" i="9" s="1"/>
  <c r="E14" i="2"/>
  <c r="D10" i="5"/>
  <c r="D10" i="6" s="1"/>
  <c r="D10" i="7" s="1"/>
  <c r="D10" i="8" s="1"/>
  <c r="D10" i="9" s="1"/>
  <c r="C19" i="5"/>
  <c r="C19" i="6" s="1"/>
  <c r="C19" i="7" s="1"/>
  <c r="C19" i="8" s="1"/>
  <c r="C19" i="9" s="1"/>
  <c r="C16" i="5"/>
  <c r="C16" i="6" s="1"/>
  <c r="C16" i="7" s="1"/>
  <c r="C16" i="8" s="1"/>
  <c r="C16" i="9" s="1"/>
  <c r="C14" i="5"/>
  <c r="C14" i="6" s="1"/>
  <c r="C14" i="7" s="1"/>
  <c r="C14" i="8" s="1"/>
  <c r="C14" i="9" s="1"/>
  <c r="C37" i="5"/>
  <c r="C37" i="6" s="1"/>
  <c r="C37" i="7" s="1"/>
  <c r="C37" i="8" s="1"/>
  <c r="C37" i="9" s="1"/>
  <c r="B36" i="5"/>
  <c r="B36" i="6" s="1"/>
  <c r="B36" i="7" s="1"/>
  <c r="B36" i="8" s="1"/>
  <c r="B36" i="9" s="1"/>
  <c r="C34" i="5"/>
  <c r="C34" i="6" s="1"/>
  <c r="C34" i="7" s="1"/>
  <c r="C34" i="8" s="1"/>
  <c r="C34" i="9" s="1"/>
  <c r="D33" i="5"/>
  <c r="D33" i="6" s="1"/>
  <c r="D33" i="7" s="1"/>
  <c r="D33" i="8" s="1"/>
  <c r="D33" i="9" s="1"/>
  <c r="D34" i="5"/>
  <c r="D34" i="6" s="1"/>
  <c r="D34" i="7" s="1"/>
  <c r="D34" i="8" s="1"/>
  <c r="D34" i="9" s="1"/>
  <c r="C35" i="5"/>
  <c r="C35" i="6" s="1"/>
  <c r="C35" i="7" s="1"/>
  <c r="C35" i="8" s="1"/>
  <c r="C35" i="9" s="1"/>
  <c r="D35" i="5"/>
  <c r="D35" i="6" s="1"/>
  <c r="D35" i="7" s="1"/>
  <c r="D35" i="8" s="1"/>
  <c r="D35" i="9" s="1"/>
  <c r="D36" i="5"/>
  <c r="D36" i="6" s="1"/>
  <c r="D36" i="7" s="1"/>
  <c r="D36" i="8" s="1"/>
  <c r="D36" i="9" s="1"/>
  <c r="D37" i="5"/>
  <c r="D37" i="6" s="1"/>
  <c r="D37" i="7" s="1"/>
  <c r="D37" i="8" s="1"/>
  <c r="D37" i="9" s="1"/>
  <c r="D38" i="5"/>
  <c r="D38" i="6" s="1"/>
  <c r="D38" i="7" s="1"/>
  <c r="D38" i="8" s="1"/>
  <c r="D38" i="9" s="1"/>
  <c r="D39" i="5"/>
  <c r="D39" i="6" s="1"/>
  <c r="D39" i="7" s="1"/>
  <c r="D39" i="8" s="1"/>
  <c r="D39" i="9" s="1"/>
  <c r="D40" i="5"/>
  <c r="D40" i="6" s="1"/>
  <c r="D40" i="7" s="1"/>
  <c r="D40" i="8" s="1"/>
  <c r="D40" i="9" s="1"/>
  <c r="D32" i="5"/>
  <c r="D32" i="6" s="1"/>
  <c r="D32" i="7" s="1"/>
  <c r="D32" i="8" s="1"/>
  <c r="D32" i="9" s="1"/>
  <c r="D14" i="5"/>
  <c r="D14" i="6" s="1"/>
  <c r="D14" i="7" s="1"/>
  <c r="D14" i="8" s="1"/>
  <c r="D14" i="9" s="1"/>
  <c r="C15" i="5"/>
  <c r="C15" i="6" s="1"/>
  <c r="C15" i="7" s="1"/>
  <c r="C15" i="8" s="1"/>
  <c r="C15" i="9" s="1"/>
  <c r="D15" i="5"/>
  <c r="D15" i="6" s="1"/>
  <c r="D15" i="7" s="1"/>
  <c r="D15" i="8" s="1"/>
  <c r="D15" i="9" s="1"/>
  <c r="D16" i="5"/>
  <c r="D16" i="6" s="1"/>
  <c r="D16" i="7" s="1"/>
  <c r="D16" i="8" s="1"/>
  <c r="D16" i="9" s="1"/>
  <c r="D17" i="5"/>
  <c r="D17" i="6" s="1"/>
  <c r="D17" i="7" s="1"/>
  <c r="D17" i="8" s="1"/>
  <c r="D17" i="9" s="1"/>
  <c r="D18" i="5"/>
  <c r="D18" i="6" s="1"/>
  <c r="D18" i="7" s="1"/>
  <c r="D18" i="8" s="1"/>
  <c r="D18" i="9" s="1"/>
  <c r="D19" i="5"/>
  <c r="D19" i="6" s="1"/>
  <c r="D19" i="7" s="1"/>
  <c r="D19" i="8" s="1"/>
  <c r="D19" i="9" s="1"/>
  <c r="C20" i="5"/>
  <c r="C20" i="6" s="1"/>
  <c r="C20" i="7" s="1"/>
  <c r="C20" i="8" s="1"/>
  <c r="C20" i="9" s="1"/>
  <c r="D20" i="5"/>
  <c r="D20" i="6" s="1"/>
  <c r="D20" i="7" s="1"/>
  <c r="D20" i="8" s="1"/>
  <c r="D20" i="9" s="1"/>
  <c r="D21" i="5"/>
  <c r="D21" i="6" s="1"/>
  <c r="D21" i="7" s="1"/>
  <c r="D21" i="8" s="1"/>
  <c r="D21" i="9" s="1"/>
  <c r="D22" i="5"/>
  <c r="D22" i="6" s="1"/>
  <c r="D22" i="7" s="1"/>
  <c r="D22" i="8" s="1"/>
  <c r="D22" i="9" s="1"/>
  <c r="C23" i="5"/>
  <c r="C23" i="6" s="1"/>
  <c r="C23" i="7" s="1"/>
  <c r="C23" i="8" s="1"/>
  <c r="C23" i="9" s="1"/>
  <c r="D23" i="5"/>
  <c r="D23" i="6" s="1"/>
  <c r="D23" i="7" s="1"/>
  <c r="D23" i="8" s="1"/>
  <c r="D23" i="9" s="1"/>
  <c r="D24" i="5"/>
  <c r="D24" i="6" s="1"/>
  <c r="D24" i="7" s="1"/>
  <c r="D24" i="8" s="1"/>
  <c r="D24" i="9" s="1"/>
  <c r="D25" i="5"/>
  <c r="D25" i="6" s="1"/>
  <c r="D25" i="7" s="1"/>
  <c r="D25" i="8" s="1"/>
  <c r="D25" i="9" s="1"/>
  <c r="B19" i="5"/>
  <c r="B19" i="6" s="1"/>
  <c r="B19" i="7" s="1"/>
  <c r="B19" i="8" s="1"/>
  <c r="B19" i="9" s="1"/>
  <c r="B23" i="5"/>
  <c r="B23" i="6" s="1"/>
  <c r="B23" i="7" s="1"/>
  <c r="B23" i="8" s="1"/>
  <c r="B23" i="9" s="1"/>
  <c r="B14" i="5"/>
  <c r="B14" i="6" s="1"/>
  <c r="B14" i="7" s="1"/>
  <c r="B14" i="8" s="1"/>
  <c r="B14" i="9" s="1"/>
  <c r="D26" i="5" l="1"/>
  <c r="B26" i="2"/>
  <c r="E24"/>
  <c r="D41"/>
  <c r="E38"/>
  <c r="E38" i="5" s="1"/>
  <c r="B35"/>
  <c r="B35" i="6" s="1"/>
  <c r="B35" i="7" s="1"/>
  <c r="B35" i="8" s="1"/>
  <c r="B35" i="9" s="1"/>
  <c r="B34" i="5"/>
  <c r="B34" i="6" s="1"/>
  <c r="B34" i="7" s="1"/>
  <c r="B34" i="8" s="1"/>
  <c r="B34" i="9" s="1"/>
  <c r="C41" i="2"/>
  <c r="E10"/>
  <c r="C10" i="5"/>
  <c r="C26" i="2"/>
  <c r="E37"/>
  <c r="E37" i="5" s="1"/>
  <c r="E39" i="2"/>
  <c r="E39" i="5" s="1"/>
  <c r="C38"/>
  <c r="C38" i="6" s="1"/>
  <c r="C38" i="7" s="1"/>
  <c r="C38" i="8" s="1"/>
  <c r="C38" i="9" s="1"/>
  <c r="E25" i="2"/>
  <c r="E32"/>
  <c r="E32" i="5" s="1"/>
  <c r="B17"/>
  <c r="B17" i="6" s="1"/>
  <c r="B17" i="7" s="1"/>
  <c r="B17" i="8" s="1"/>
  <c r="B17" i="9" s="1"/>
  <c r="E36" i="2"/>
  <c r="E36" i="5" s="1"/>
  <c r="B40"/>
  <c r="B40" i="6" s="1"/>
  <c r="B40" i="7" s="1"/>
  <c r="B40" i="8" s="1"/>
  <c r="B40" i="9" s="1"/>
  <c r="C26" i="5"/>
  <c r="E10" l="1"/>
  <c r="C10" i="6"/>
  <c r="B26" i="5"/>
  <c r="E41" i="2"/>
  <c r="E26"/>
  <c r="C10" i="7" l="1"/>
  <c r="C10" i="8" s="1"/>
  <c r="C10" i="9" s="1"/>
  <c r="E10" i="6"/>
  <c r="E20" i="9"/>
  <c r="E19"/>
  <c r="E35"/>
  <c r="E34"/>
  <c r="G41"/>
  <c r="D41"/>
  <c r="G26"/>
  <c r="E23"/>
  <c r="E17"/>
  <c r="E20" i="8"/>
  <c r="E17"/>
  <c r="E15"/>
  <c r="E36"/>
  <c r="G41"/>
  <c r="D41"/>
  <c r="G26"/>
  <c r="E23"/>
  <c r="E19"/>
  <c r="E24" i="7"/>
  <c r="E21"/>
  <c r="E18"/>
  <c r="E19"/>
  <c r="G41"/>
  <c r="D41"/>
  <c r="E35"/>
  <c r="G26"/>
  <c r="E23"/>
  <c r="E20"/>
  <c r="E20" i="6"/>
  <c r="E18"/>
  <c r="E16"/>
  <c r="E14"/>
  <c r="G41"/>
  <c r="D41"/>
  <c r="G26"/>
  <c r="E23"/>
  <c r="E19"/>
  <c r="D26"/>
  <c r="G41" i="5"/>
  <c r="D41"/>
  <c r="G26"/>
  <c r="G41" i="1"/>
  <c r="B39"/>
  <c r="C38"/>
  <c r="B33"/>
  <c r="B24"/>
  <c r="B18"/>
  <c r="C14"/>
  <c r="C10"/>
  <c r="C40"/>
  <c r="B40"/>
  <c r="C39"/>
  <c r="B38"/>
  <c r="D37"/>
  <c r="C37"/>
  <c r="B37"/>
  <c r="D36"/>
  <c r="C36"/>
  <c r="B36"/>
  <c r="C35"/>
  <c r="B35"/>
  <c r="C34"/>
  <c r="C33"/>
  <c r="C32"/>
  <c r="B25"/>
  <c r="C24"/>
  <c r="C22"/>
  <c r="B22"/>
  <c r="B21"/>
  <c r="E21" s="1"/>
  <c r="C19"/>
  <c r="E19" s="1"/>
  <c r="C18"/>
  <c r="C17"/>
  <c r="D16"/>
  <c r="B16"/>
  <c r="C15"/>
  <c r="B15"/>
  <c r="D10"/>
  <c r="D39"/>
  <c r="D38"/>
  <c r="B34"/>
  <c r="E33"/>
  <c r="B32"/>
  <c r="G26"/>
  <c r="C25"/>
  <c r="E23"/>
  <c r="C21"/>
  <c r="B20"/>
  <c r="E20" s="1"/>
  <c r="B17"/>
  <c r="D15"/>
  <c r="B14"/>
  <c r="G41" i="4"/>
  <c r="E40"/>
  <c r="C40"/>
  <c r="B40"/>
  <c r="E39"/>
  <c r="D39"/>
  <c r="C39"/>
  <c r="B39"/>
  <c r="D38"/>
  <c r="E38" s="1"/>
  <c r="C38"/>
  <c r="B38"/>
  <c r="E37"/>
  <c r="D37"/>
  <c r="D41" s="1"/>
  <c r="C37"/>
  <c r="B37"/>
  <c r="D36"/>
  <c r="E36" s="1"/>
  <c r="C36"/>
  <c r="B36"/>
  <c r="E35"/>
  <c r="C35"/>
  <c r="B35"/>
  <c r="E34"/>
  <c r="C34"/>
  <c r="B34"/>
  <c r="C33"/>
  <c r="B33"/>
  <c r="E33" s="1"/>
  <c r="E32"/>
  <c r="C32"/>
  <c r="C41" s="1"/>
  <c r="B32"/>
  <c r="B41" s="1"/>
  <c r="G26"/>
  <c r="B26"/>
  <c r="E25"/>
  <c r="C25"/>
  <c r="B25"/>
  <c r="C24"/>
  <c r="B24"/>
  <c r="E24" s="1"/>
  <c r="E23"/>
  <c r="E22"/>
  <c r="C22"/>
  <c r="B22"/>
  <c r="E21"/>
  <c r="C21"/>
  <c r="B21"/>
  <c r="B20"/>
  <c r="E20" s="1"/>
  <c r="E19"/>
  <c r="C19"/>
  <c r="E18"/>
  <c r="C18"/>
  <c r="B18"/>
  <c r="E17"/>
  <c r="C17"/>
  <c r="B17"/>
  <c r="E16"/>
  <c r="D16"/>
  <c r="B16"/>
  <c r="E15"/>
  <c r="D15"/>
  <c r="D26" s="1"/>
  <c r="C15"/>
  <c r="B15"/>
  <c r="C14"/>
  <c r="C26" s="1"/>
  <c r="B14"/>
  <c r="E14" s="1"/>
  <c r="E10"/>
  <c r="D10"/>
  <c r="C10"/>
  <c r="B10"/>
  <c r="E25" i="9" l="1"/>
  <c r="E24"/>
  <c r="E22"/>
  <c r="E21"/>
  <c r="E18"/>
  <c r="D26"/>
  <c r="E16"/>
  <c r="B26"/>
  <c r="C26"/>
  <c r="E15"/>
  <c r="E14"/>
  <c r="E40"/>
  <c r="E39"/>
  <c r="E37"/>
  <c r="B41"/>
  <c r="E38"/>
  <c r="E36"/>
  <c r="C41"/>
  <c r="E33"/>
  <c r="E32"/>
  <c r="E10"/>
  <c r="E25" i="8"/>
  <c r="E24"/>
  <c r="E22"/>
  <c r="E21"/>
  <c r="E18"/>
  <c r="D26"/>
  <c r="E16"/>
  <c r="B26"/>
  <c r="E14"/>
  <c r="C26"/>
  <c r="E40"/>
  <c r="E39"/>
  <c r="E38"/>
  <c r="E37"/>
  <c r="E35"/>
  <c r="E34"/>
  <c r="B41"/>
  <c r="E33"/>
  <c r="C41"/>
  <c r="E32"/>
  <c r="E10"/>
  <c r="E25" i="7"/>
  <c r="E22"/>
  <c r="E17"/>
  <c r="D26"/>
  <c r="E16"/>
  <c r="B26"/>
  <c r="E15"/>
  <c r="C26"/>
  <c r="E14"/>
  <c r="E40"/>
  <c r="E39"/>
  <c r="E38"/>
  <c r="E37"/>
  <c r="E36"/>
  <c r="E34"/>
  <c r="B41"/>
  <c r="C41"/>
  <c r="E33"/>
  <c r="E32"/>
  <c r="E10"/>
  <c r="E25" i="6"/>
  <c r="E24"/>
  <c r="E22"/>
  <c r="E21"/>
  <c r="E17"/>
  <c r="B26"/>
  <c r="E15"/>
  <c r="C26"/>
  <c r="E40"/>
  <c r="E39"/>
  <c r="E37"/>
  <c r="E35"/>
  <c r="E34"/>
  <c r="B41"/>
  <c r="E33"/>
  <c r="E38"/>
  <c r="E36"/>
  <c r="C41"/>
  <c r="E32"/>
  <c r="C41" i="5"/>
  <c r="B41"/>
  <c r="E34" i="1"/>
  <c r="C41"/>
  <c r="E25"/>
  <c r="E15"/>
  <c r="D26"/>
  <c r="E40"/>
  <c r="E38"/>
  <c r="E36"/>
  <c r="E24"/>
  <c r="E17"/>
  <c r="E16"/>
  <c r="E37"/>
  <c r="E35"/>
  <c r="E22"/>
  <c r="E39"/>
  <c r="E14"/>
  <c r="E18"/>
  <c r="D41"/>
  <c r="E32"/>
  <c r="B26"/>
  <c r="C26"/>
  <c r="E10"/>
  <c r="B41"/>
  <c r="E41" i="4"/>
  <c r="E26"/>
  <c r="E26" i="9" l="1"/>
  <c r="E41"/>
  <c r="E26" i="8"/>
  <c r="E41"/>
  <c r="E26" i="7"/>
  <c r="E41"/>
  <c r="E26" i="6"/>
  <c r="E41"/>
  <c r="E41" i="5"/>
  <c r="E26" i="1"/>
  <c r="E41"/>
</calcChain>
</file>

<file path=xl/sharedStrings.xml><?xml version="1.0" encoding="utf-8"?>
<sst xmlns="http://schemas.openxmlformats.org/spreadsheetml/2006/main" count="464" uniqueCount="61">
  <si>
    <t>Ministry of Health and Population</t>
  </si>
  <si>
    <t>National Centre for AIDS and STD Control</t>
  </si>
  <si>
    <t>Cumulative HIV and AIDS Situation of Nepal</t>
  </si>
  <si>
    <r>
      <t xml:space="preserve">As of Mangsir </t>
    </r>
    <r>
      <rPr>
        <b/>
        <sz val="10"/>
        <color indexed="10"/>
        <rFont val="Arial"/>
        <family val="2"/>
      </rPr>
      <t xml:space="preserve">2070 </t>
    </r>
  </si>
  <si>
    <t>Total HIV infections reported</t>
  </si>
  <si>
    <t>Male</t>
  </si>
  <si>
    <t>Female</t>
  </si>
  <si>
    <t>TG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</si>
  <si>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</si>
  <si>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</si>
  <si>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</si>
  <si>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</si>
  <si>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</si>
  <si>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</si>
  <si>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</si>
  <si>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Men having Sex with Men (MSM)/TG</t>
  </si>
  <si>
    <t>Blood or Organ Recipients</t>
  </si>
  <si>
    <t>Clients of Sex Worker</t>
  </si>
  <si>
    <t>Housewives</t>
  </si>
  <si>
    <t>Male Partners</t>
  </si>
  <si>
    <t>**</t>
  </si>
  <si>
    <t>Migrant Workers</t>
  </si>
  <si>
    <t>Spouse of Migrant</t>
  </si>
  <si>
    <t>Prison Inmates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</si>
  <si>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</si>
  <si>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</si>
  <si>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</si>
  <si>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</si>
  <si>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</si>
  <si>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</si>
  <si>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</si>
  <si>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</si>
  <si>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</si>
  <si>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</si>
  <si>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</si>
  <si>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</si>
  <si>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</si>
  <si>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</si>
  <si>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</si>
  <si>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</si>
  <si>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Source: NCASC, 2013 [as of Mangsir 2070]</t>
  </si>
  <si>
    <t>For more information contact at :</t>
  </si>
  <si>
    <t>SI Unit, NCASC, Teku, Kathmandu</t>
  </si>
  <si>
    <t>Tel : 01- 4261653</t>
  </si>
  <si>
    <t>Fax : 01- 4215149</t>
  </si>
  <si>
    <t>Email : data@ncasc.gov.np</t>
  </si>
  <si>
    <t>Web : www.ncasc.gov.np</t>
  </si>
  <si>
    <r>
      <t xml:space="preserve">As of Poush </t>
    </r>
    <r>
      <rPr>
        <b/>
        <sz val="10"/>
        <color indexed="10"/>
        <rFont val="Arial"/>
        <family val="2"/>
      </rPr>
      <t xml:space="preserve">2070 </t>
    </r>
  </si>
  <si>
    <r>
      <t xml:space="preserve">As of Magh </t>
    </r>
    <r>
      <rPr>
        <b/>
        <sz val="10"/>
        <color indexed="10"/>
        <rFont val="Arial"/>
        <family val="2"/>
      </rPr>
      <t xml:space="preserve">2070 </t>
    </r>
  </si>
  <si>
    <r>
      <t xml:space="preserve">As of Falgun </t>
    </r>
    <r>
      <rPr>
        <b/>
        <sz val="10"/>
        <color indexed="10"/>
        <rFont val="Arial"/>
        <family val="2"/>
      </rPr>
      <t xml:space="preserve">2070 </t>
    </r>
  </si>
  <si>
    <r>
      <t xml:space="preserve">As of Chaitra </t>
    </r>
    <r>
      <rPr>
        <b/>
        <sz val="10"/>
        <color indexed="10"/>
        <rFont val="Arial"/>
        <family val="2"/>
      </rPr>
      <t xml:space="preserve">2070 </t>
    </r>
  </si>
  <si>
    <r>
      <t xml:space="preserve">As of Baishakh </t>
    </r>
    <r>
      <rPr>
        <b/>
        <sz val="10"/>
        <color indexed="10"/>
        <rFont val="Arial"/>
        <family val="2"/>
      </rPr>
      <t>2071</t>
    </r>
  </si>
  <si>
    <r>
      <t xml:space="preserve">As of Jestha </t>
    </r>
    <r>
      <rPr>
        <b/>
        <sz val="10"/>
        <color indexed="10"/>
        <rFont val="Arial"/>
        <family val="2"/>
      </rPr>
      <t>2071</t>
    </r>
  </si>
  <si>
    <r>
      <t xml:space="preserve">As of Asar </t>
    </r>
    <r>
      <rPr>
        <b/>
        <sz val="10"/>
        <color indexed="10"/>
        <rFont val="Arial"/>
        <family val="2"/>
      </rPr>
      <t>2071</t>
    </r>
  </si>
  <si>
    <t>Source: NCASC, 2014 [as of Jestha 2071]</t>
  </si>
  <si>
    <t>Source: NCASC, 2014 [as of Poush 2070]</t>
  </si>
  <si>
    <t>Source: NCASC, 2014 [as of Magh 2070]</t>
  </si>
  <si>
    <t>Source: NCASC, 2014 [as of Falgun 2070]</t>
  </si>
  <si>
    <t>Source: NCASC, 2014 [as of Chaitra 2070]</t>
  </si>
  <si>
    <t>Source: NCASC, 2014 [as of Baishakh 2071]</t>
  </si>
  <si>
    <t>Source: NCASC, 2014 [as of Asar 2071]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</si>
</sst>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7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horizontal="center"/>
    </xf>
    <xf numFmtId="0" fontId="6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/>
    </xf>
    <xf numFmtId="164" fontId="9" fillId="2" borderId="13" xfId="1" applyNumberFormat="1" applyFont="1" applyFill="1" applyBorder="1" applyAlignment="1">
      <alignment horizontal="center" vertical="center"/>
    </xf>
    <xf numFmtId="0" fontId="7" fillId="2" borderId="13" xfId="0" applyFont="1" applyFill="1" applyBorder="1"/>
    <xf numFmtId="164" fontId="0" fillId="0" borderId="0" xfId="0" applyNumberFormat="1"/>
    <xf numFmtId="0" fontId="7" fillId="2" borderId="14" xfId="0" applyFont="1" applyFill="1" applyBorder="1" applyAlignment="1">
      <alignment horizontal="left"/>
    </xf>
    <xf numFmtId="0" fontId="0" fillId="0" borderId="15" xfId="0" applyBorder="1"/>
    <xf numFmtId="164" fontId="7" fillId="2" borderId="16" xfId="1" applyNumberFormat="1" applyFont="1" applyFill="1" applyBorder="1" applyAlignment="1">
      <alignment horizontal="center"/>
    </xf>
    <xf numFmtId="0" fontId="6" fillId="2" borderId="14" xfId="0" applyFont="1" applyFill="1" applyBorder="1"/>
    <xf numFmtId="0" fontId="7" fillId="0" borderId="15" xfId="2" applyBorder="1" applyAlignment="1">
      <alignment horizontal="center" vertical="center"/>
    </xf>
    <xf numFmtId="0" fontId="0" fillId="2" borderId="14" xfId="0" applyFill="1" applyBorder="1" applyAlignment="1">
      <alignment horizontal="left"/>
    </xf>
    <xf numFmtId="0" fontId="0" fillId="0" borderId="14" xfId="0" applyBorder="1"/>
    <xf numFmtId="0" fontId="7" fillId="0" borderId="14" xfId="0" applyFont="1" applyFill="1" applyBorder="1" applyAlignment="1">
      <alignment horizontal="left"/>
    </xf>
    <xf numFmtId="0" fontId="6" fillId="2" borderId="17" xfId="0" applyFont="1" applyFill="1" applyBorder="1"/>
    <xf numFmtId="0" fontId="12" fillId="2" borderId="18" xfId="0" applyFont="1" applyFill="1" applyBorder="1"/>
    <xf numFmtId="0" fontId="6" fillId="2" borderId="19" xfId="0" applyFont="1" applyFill="1" applyBorder="1"/>
    <xf numFmtId="164" fontId="6" fillId="2" borderId="15" xfId="1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3" fillId="2" borderId="5" xfId="0" applyFont="1" applyFill="1" applyBorder="1" applyAlignment="1">
      <alignment vertical="top" wrapText="1"/>
    </xf>
    <xf numFmtId="164" fontId="13" fillId="2" borderId="5" xfId="1" applyNumberFormat="1" applyFont="1" applyFill="1" applyBorder="1" applyAlignment="1">
      <alignment horizontal="center" vertical="top" wrapText="1"/>
    </xf>
    <xf numFmtId="164" fontId="13" fillId="2" borderId="0" xfId="1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21" xfId="0" applyFont="1" applyFill="1" applyBorder="1" applyAlignment="1">
      <alignment horizontal="left" vertical="center"/>
    </xf>
    <xf numFmtId="164" fontId="9" fillId="2" borderId="22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1" fontId="7" fillId="2" borderId="18" xfId="0" applyNumberFormat="1" applyFont="1" applyFill="1" applyBorder="1"/>
    <xf numFmtId="0" fontId="0" fillId="2" borderId="23" xfId="0" applyFill="1" applyBorder="1" applyAlignment="1">
      <alignment horizontal="center"/>
    </xf>
    <xf numFmtId="0" fontId="2" fillId="0" borderId="8" xfId="0" applyFont="1" applyBorder="1"/>
    <xf numFmtId="0" fontId="6" fillId="2" borderId="2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16" xfId="0" applyBorder="1"/>
    <xf numFmtId="164" fontId="6" fillId="2" borderId="16" xfId="1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0" fillId="0" borderId="7" xfId="0" applyBorder="1"/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_Sheet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opLeftCell="A21" workbookViewId="0">
      <selection sqref="A1:G50"/>
    </sheetView>
  </sheetViews>
  <sheetFormatPr defaultRowHeight="15"/>
  <cols>
    <col min="1" max="1" width="45.42578125" bestFit="1" customWidth="1"/>
    <col min="2" max="2" width="10.5703125" bestFit="1" customWidth="1"/>
    <col min="3" max="3" width="10.42578125" bestFit="1" customWidth="1"/>
    <col min="4" max="4" width="9.28515625" bestFit="1" customWidth="1"/>
    <col min="5" max="5" width="11.5703125" bestFit="1" customWidth="1"/>
    <col min="7" max="7" width="9.28515625" bestFit="1" customWidth="1"/>
  </cols>
  <sheetData>
    <row r="2" spans="1:8">
      <c r="A2" s="1"/>
      <c r="B2" s="2"/>
      <c r="C2" s="2"/>
      <c r="D2" s="2"/>
      <c r="E2" s="2"/>
      <c r="F2" s="1"/>
      <c r="G2" s="2"/>
    </row>
    <row r="3" spans="1:8" ht="15.75">
      <c r="A3" s="64" t="s">
        <v>0</v>
      </c>
      <c r="B3" s="64"/>
      <c r="C3" s="64"/>
      <c r="D3" s="64"/>
      <c r="E3" s="64"/>
      <c r="F3" s="64"/>
      <c r="G3" s="64"/>
    </row>
    <row r="4" spans="1:8" ht="15.75">
      <c r="A4" s="64" t="s">
        <v>1</v>
      </c>
      <c r="B4" s="64"/>
      <c r="C4" s="64"/>
      <c r="D4" s="64"/>
      <c r="E4" s="64"/>
      <c r="F4" s="64"/>
      <c r="G4" s="64"/>
    </row>
    <row r="5" spans="1:8">
      <c r="A5" s="3"/>
      <c r="B5" s="3"/>
      <c r="C5" s="3"/>
      <c r="D5" s="3"/>
      <c r="E5" s="3"/>
      <c r="F5" s="3"/>
      <c r="G5" s="3"/>
    </row>
    <row r="6" spans="1:8">
      <c r="A6" s="65" t="s">
        <v>2</v>
      </c>
      <c r="B6" s="65"/>
      <c r="C6" s="65"/>
      <c r="D6" s="65"/>
      <c r="E6" s="65"/>
      <c r="F6" s="65"/>
      <c r="G6" s="65"/>
    </row>
    <row r="7" spans="1:8">
      <c r="A7" s="66" t="s">
        <v>3</v>
      </c>
      <c r="B7" s="66"/>
      <c r="C7" s="66"/>
      <c r="D7" s="66"/>
      <c r="E7" s="66"/>
      <c r="F7" s="66"/>
      <c r="G7" s="66"/>
    </row>
    <row r="8" spans="1:8" ht="15.75" thickBot="1">
      <c r="A8" s="4"/>
      <c r="B8" s="5"/>
      <c r="C8" s="5"/>
      <c r="D8" s="6"/>
      <c r="E8" s="5"/>
      <c r="F8" s="4"/>
    </row>
    <row r="9" spans="1:8" ht="45.75" thickTop="1">
      <c r="A9" s="67" t="s">
        <v>4</v>
      </c>
      <c r="B9" s="7" t="s">
        <v>5</v>
      </c>
      <c r="C9" s="7" t="s">
        <v>6</v>
      </c>
      <c r="D9" s="8" t="s">
        <v>7</v>
      </c>
      <c r="E9" s="9" t="s">
        <v>8</v>
      </c>
      <c r="F9" s="9"/>
      <c r="G9" s="10" t="s">
        <v>9</v>
      </c>
    </row>
    <row r="10" spans="1:8" ht="15.75" thickBot="1">
      <c r="A10" s="68"/>
      <c r="B10" s="11">
        <f>14560+111+95+104+123+130</f>
        <v>15123</v>
      </c>
      <c r="C10" s="12">
        <f>8408+81+75+81+84+93</f>
        <v>8822</v>
      </c>
      <c r="D10" s="12">
        <f>26+1+1+2+3</f>
        <v>33</v>
      </c>
      <c r="E10" s="12">
        <f>B10+C10+D10</f>
        <v>23978</v>
      </c>
      <c r="F10" s="13"/>
      <c r="G10" s="14">
        <v>226</v>
      </c>
    </row>
    <row r="11" spans="1:8" ht="15.75" thickTop="1">
      <c r="A11" s="15"/>
      <c r="B11" s="16"/>
      <c r="C11" s="16"/>
      <c r="D11" s="16"/>
      <c r="E11" s="16"/>
      <c r="F11" s="17"/>
      <c r="G11" s="18"/>
    </row>
    <row r="12" spans="1:8" ht="15.75" thickBot="1">
      <c r="A12" s="19" t="s">
        <v>10</v>
      </c>
      <c r="B12" s="20"/>
      <c r="C12" s="20"/>
      <c r="D12" s="20"/>
      <c r="E12" s="20"/>
      <c r="F12" s="4"/>
    </row>
    <row r="13" spans="1:8" ht="45.75" thickTop="1">
      <c r="A13" s="21" t="s">
        <v>11</v>
      </c>
      <c r="B13" s="22" t="s">
        <v>5</v>
      </c>
      <c r="C13" s="22" t="s">
        <v>6</v>
      </c>
      <c r="D13" s="22" t="s">
        <v>7</v>
      </c>
      <c r="E13" s="23" t="s">
        <v>8</v>
      </c>
      <c r="F13" s="24"/>
      <c r="G13" s="10" t="s">
        <v>9</v>
      </c>
      <c r="H13" s="25"/>
    </row>
    <row r="14" spans="1:8">
      <c r="A14" s="26" t="s">
        <v>12</v>
      </c>
      <c r="B14" s="27">
        <f>68+1+3+2+5</f>
        <v>79</v>
      </c>
      <c r="C14" s="27">
        <f>1097+8+2+10</f>
        <v>1117</v>
      </c>
      <c r="D14" s="27">
        <v>0</v>
      </c>
      <c r="E14" s="28">
        <f>B14+C14+D14</f>
        <v>1196</v>
      </c>
      <c r="F14" s="29"/>
      <c r="G14" s="30">
        <v>15</v>
      </c>
      <c r="H14" s="25"/>
    </row>
    <row r="15" spans="1:8">
      <c r="A15" s="26" t="s">
        <v>13</v>
      </c>
      <c r="B15" s="27">
        <f>2866+3+2+3+3+7</f>
        <v>2884</v>
      </c>
      <c r="C15" s="27">
        <f>71+1</f>
        <v>72</v>
      </c>
      <c r="D15" s="27">
        <f>6+2</f>
        <v>8</v>
      </c>
      <c r="E15" s="28">
        <f t="shared" ref="E15:E26" si="0">B15+C15+D15</f>
        <v>2964</v>
      </c>
      <c r="F15" s="29" t="s">
        <v>14</v>
      </c>
      <c r="G15" s="30">
        <v>8</v>
      </c>
      <c r="H15" s="25"/>
    </row>
    <row r="16" spans="1:8">
      <c r="A16" s="26" t="s">
        <v>15</v>
      </c>
      <c r="B16" s="27">
        <f>285+5+3+4+2+2</f>
        <v>301</v>
      </c>
      <c r="C16" s="27">
        <v>1</v>
      </c>
      <c r="D16" s="27">
        <f>17+1+1+3</f>
        <v>22</v>
      </c>
      <c r="E16" s="28">
        <f t="shared" si="0"/>
        <v>324</v>
      </c>
      <c r="F16" s="29"/>
      <c r="G16" s="30">
        <v>5</v>
      </c>
      <c r="H16" s="25"/>
    </row>
    <row r="17" spans="1:8">
      <c r="A17" s="31" t="s">
        <v>16</v>
      </c>
      <c r="B17" s="27">
        <f>61+2+1+3</f>
        <v>67</v>
      </c>
      <c r="C17" s="27">
        <f>25+1</f>
        <v>26</v>
      </c>
      <c r="D17" s="27">
        <v>0</v>
      </c>
      <c r="E17" s="28">
        <f t="shared" si="0"/>
        <v>93</v>
      </c>
      <c r="F17" s="29"/>
      <c r="G17" s="30">
        <v>0</v>
      </c>
      <c r="H17" s="25"/>
    </row>
    <row r="18" spans="1:8">
      <c r="A18" s="26" t="s">
        <v>17</v>
      </c>
      <c r="B18" s="27">
        <f>8985+29+27+28+26+29</f>
        <v>9124</v>
      </c>
      <c r="C18" s="27">
        <f>141+1+4</f>
        <v>146</v>
      </c>
      <c r="D18" s="27">
        <v>0</v>
      </c>
      <c r="E18" s="28">
        <f t="shared" si="0"/>
        <v>9270</v>
      </c>
      <c r="F18" s="29"/>
      <c r="G18" s="30">
        <v>33</v>
      </c>
      <c r="H18" s="25"/>
    </row>
    <row r="19" spans="1:8">
      <c r="A19" s="26" t="s">
        <v>18</v>
      </c>
      <c r="B19" s="27">
        <v>0</v>
      </c>
      <c r="C19" s="27">
        <f>5721+36+37+36</f>
        <v>5830</v>
      </c>
      <c r="D19" s="27">
        <v>1</v>
      </c>
      <c r="E19" s="28">
        <f t="shared" si="0"/>
        <v>5831</v>
      </c>
      <c r="F19" s="29"/>
      <c r="G19" s="30">
        <v>36</v>
      </c>
      <c r="H19" s="25"/>
    </row>
    <row r="20" spans="1:8">
      <c r="A20" s="26" t="s">
        <v>19</v>
      </c>
      <c r="B20" s="27">
        <f>125+2+4+1+5</f>
        <v>137</v>
      </c>
      <c r="C20" s="27">
        <v>0</v>
      </c>
      <c r="D20" s="27">
        <v>0</v>
      </c>
      <c r="E20" s="28">
        <f t="shared" si="0"/>
        <v>137</v>
      </c>
      <c r="F20" s="29" t="s">
        <v>20</v>
      </c>
      <c r="G20" s="30">
        <v>0</v>
      </c>
      <c r="H20" s="25"/>
    </row>
    <row r="21" spans="1:8">
      <c r="A21" s="26" t="s">
        <v>21</v>
      </c>
      <c r="B21" s="27">
        <f>944+47+44+36+62+62</f>
        <v>1195</v>
      </c>
      <c r="C21" s="27">
        <f>43+3+2+2+1</f>
        <v>51</v>
      </c>
      <c r="D21" s="27">
        <v>0</v>
      </c>
      <c r="E21" s="28">
        <f t="shared" si="0"/>
        <v>1246</v>
      </c>
      <c r="F21" s="29"/>
      <c r="G21" s="30">
        <v>63</v>
      </c>
      <c r="H21" s="25"/>
    </row>
    <row r="22" spans="1:8">
      <c r="A22" s="26" t="s">
        <v>22</v>
      </c>
      <c r="B22" s="27">
        <f>35+1+1</f>
        <v>37</v>
      </c>
      <c r="C22" s="27">
        <f>661+23+31+30</f>
        <v>745</v>
      </c>
      <c r="D22" s="27">
        <v>0</v>
      </c>
      <c r="E22" s="28">
        <f t="shared" si="0"/>
        <v>782</v>
      </c>
      <c r="F22" s="29"/>
      <c r="G22" s="30">
        <v>30</v>
      </c>
      <c r="H22" s="25"/>
    </row>
    <row r="23" spans="1:8">
      <c r="A23" s="26" t="s">
        <v>23</v>
      </c>
      <c r="B23" s="27">
        <v>0</v>
      </c>
      <c r="C23" s="27">
        <v>0</v>
      </c>
      <c r="D23" s="27">
        <v>0</v>
      </c>
      <c r="E23" s="28">
        <f t="shared" si="0"/>
        <v>0</v>
      </c>
      <c r="F23" s="32"/>
      <c r="G23" s="30">
        <v>0</v>
      </c>
      <c r="H23" s="25"/>
    </row>
    <row r="24" spans="1:8">
      <c r="A24" s="33" t="s">
        <v>24</v>
      </c>
      <c r="B24" s="27">
        <f>980+11+8+10+12+16</f>
        <v>1037</v>
      </c>
      <c r="C24" s="27">
        <f>647+5+8+7+5+8</f>
        <v>680</v>
      </c>
      <c r="D24" s="27">
        <v>0</v>
      </c>
      <c r="E24" s="28">
        <f t="shared" si="0"/>
        <v>1717</v>
      </c>
      <c r="F24" s="34"/>
      <c r="G24" s="30">
        <v>24</v>
      </c>
      <c r="H24" s="25"/>
    </row>
    <row r="25" spans="1:8">
      <c r="A25" s="35" t="s">
        <v>25</v>
      </c>
      <c r="B25" s="27">
        <f>211+12+5+18+7+9</f>
        <v>262</v>
      </c>
      <c r="C25" s="27">
        <f>138+7+6+3</f>
        <v>154</v>
      </c>
      <c r="D25" s="27">
        <v>2</v>
      </c>
      <c r="E25" s="28">
        <f t="shared" si="0"/>
        <v>418</v>
      </c>
      <c r="F25" s="29"/>
      <c r="G25" s="30">
        <v>12</v>
      </c>
      <c r="H25" s="25"/>
    </row>
    <row r="26" spans="1:8" ht="15.75" thickBot="1">
      <c r="A26" s="36" t="s">
        <v>8</v>
      </c>
      <c r="B26" s="37">
        <f>SUM(B14:B25)</f>
        <v>15123</v>
      </c>
      <c r="C26" s="37">
        <f t="shared" ref="C26:D26" si="1">SUM(C14:C25)</f>
        <v>8822</v>
      </c>
      <c r="D26" s="37">
        <f t="shared" si="1"/>
        <v>33</v>
      </c>
      <c r="E26" s="28">
        <f t="shared" si="0"/>
        <v>23978</v>
      </c>
      <c r="F26" s="13"/>
      <c r="G26" s="38">
        <f>SUM(G14:G25)</f>
        <v>226</v>
      </c>
      <c r="H26" s="25"/>
    </row>
    <row r="27" spans="1:8" ht="15.75" thickTop="1">
      <c r="A27" s="39" t="s">
        <v>26</v>
      </c>
      <c r="B27" s="40"/>
      <c r="C27" s="41"/>
      <c r="D27" s="41"/>
      <c r="E27" s="41"/>
      <c r="F27" s="42"/>
      <c r="G27" s="43"/>
    </row>
    <row r="28" spans="1:8">
      <c r="A28" s="44" t="s">
        <v>27</v>
      </c>
      <c r="B28" s="45"/>
      <c r="C28" s="45"/>
      <c r="D28" s="45"/>
      <c r="E28" s="45"/>
      <c r="F28" s="46"/>
      <c r="G28" s="47"/>
    </row>
    <row r="29" spans="1:8">
      <c r="A29" s="44"/>
      <c r="B29" s="45"/>
      <c r="C29" s="45"/>
      <c r="D29" s="45"/>
      <c r="E29" s="45"/>
      <c r="F29" s="46"/>
      <c r="G29" s="47"/>
    </row>
    <row r="30" spans="1:8" ht="15.75" thickBot="1">
      <c r="A30" s="19" t="s">
        <v>28</v>
      </c>
      <c r="B30" s="20"/>
      <c r="C30" s="20"/>
      <c r="D30" s="20"/>
      <c r="E30" s="20"/>
      <c r="F30" s="4"/>
    </row>
    <row r="31" spans="1:8" ht="45.75" thickTop="1">
      <c r="A31" s="48" t="s">
        <v>29</v>
      </c>
      <c r="B31" s="22" t="s">
        <v>5</v>
      </c>
      <c r="C31" s="22" t="s">
        <v>6</v>
      </c>
      <c r="D31" s="49" t="s">
        <v>7</v>
      </c>
      <c r="E31" s="49" t="s">
        <v>8</v>
      </c>
      <c r="F31" s="24"/>
      <c r="G31" s="10" t="s">
        <v>9</v>
      </c>
      <c r="H31" s="50"/>
    </row>
    <row r="32" spans="1:8">
      <c r="A32" s="51" t="s">
        <v>30</v>
      </c>
      <c r="B32" s="27">
        <f>374+2+3+3+7+1</f>
        <v>390</v>
      </c>
      <c r="C32" s="27">
        <f>222+1+3+2+1</f>
        <v>229</v>
      </c>
      <c r="D32" s="27">
        <v>0</v>
      </c>
      <c r="E32" s="28">
        <f>B32+C32+D32</f>
        <v>619</v>
      </c>
      <c r="F32" s="29"/>
      <c r="G32" s="52">
        <v>2</v>
      </c>
      <c r="H32" s="25"/>
    </row>
    <row r="33" spans="1:8">
      <c r="A33" s="51" t="s">
        <v>31</v>
      </c>
      <c r="B33" s="27">
        <f>412+5+3+3+4+12</f>
        <v>439</v>
      </c>
      <c r="C33" s="27">
        <f>292+1+5+3+1+5</f>
        <v>307</v>
      </c>
      <c r="D33" s="27">
        <v>0</v>
      </c>
      <c r="E33" s="28">
        <f t="shared" ref="E33:E41" si="2">B33+C33+D33</f>
        <v>746</v>
      </c>
      <c r="F33" s="29"/>
      <c r="G33" s="52">
        <v>17</v>
      </c>
      <c r="H33" s="25"/>
    </row>
    <row r="34" spans="1:8">
      <c r="A34" s="51" t="s">
        <v>32</v>
      </c>
      <c r="B34" s="27">
        <f>188+6+3+4+2+2</f>
        <v>205</v>
      </c>
      <c r="C34" s="27">
        <f>130+4+2+1</f>
        <v>137</v>
      </c>
      <c r="D34" s="27">
        <v>0</v>
      </c>
      <c r="E34" s="28">
        <f t="shared" si="2"/>
        <v>342</v>
      </c>
      <c r="F34" s="29"/>
      <c r="G34" s="52">
        <v>2</v>
      </c>
      <c r="H34" s="25"/>
    </row>
    <row r="35" spans="1:8">
      <c r="A35" s="51" t="s">
        <v>33</v>
      </c>
      <c r="B35" s="27">
        <f>325+2+1+3+2+2</f>
        <v>335</v>
      </c>
      <c r="C35" s="27">
        <f>366+3+2+2+2+5</f>
        <v>380</v>
      </c>
      <c r="D35" s="27">
        <v>3</v>
      </c>
      <c r="E35" s="28">
        <f t="shared" si="2"/>
        <v>718</v>
      </c>
      <c r="F35" s="29"/>
      <c r="G35" s="52">
        <v>7</v>
      </c>
      <c r="H35" s="25"/>
    </row>
    <row r="36" spans="1:8">
      <c r="A36" s="51" t="s">
        <v>34</v>
      </c>
      <c r="B36" s="27">
        <f>1573+4+7+5+4+13</f>
        <v>1606</v>
      </c>
      <c r="C36" s="27">
        <f>1229+8+9+6+3+12</f>
        <v>1267</v>
      </c>
      <c r="D36" s="27">
        <f>4+2</f>
        <v>6</v>
      </c>
      <c r="E36" s="28">
        <f t="shared" si="2"/>
        <v>2879</v>
      </c>
      <c r="F36" s="29"/>
      <c r="G36" s="52">
        <v>25</v>
      </c>
      <c r="H36" s="25"/>
    </row>
    <row r="37" spans="1:8">
      <c r="A37" s="51" t="s">
        <v>35</v>
      </c>
      <c r="B37" s="27">
        <f>2917+16+14+14+23+13</f>
        <v>2997</v>
      </c>
      <c r="C37" s="27">
        <f>1862+10+10+17+20+17</f>
        <v>1936</v>
      </c>
      <c r="D37" s="27">
        <f>4+1</f>
        <v>5</v>
      </c>
      <c r="E37" s="28">
        <f t="shared" si="2"/>
        <v>4938</v>
      </c>
      <c r="F37" s="29"/>
      <c r="G37" s="52">
        <v>30</v>
      </c>
      <c r="H37" s="25"/>
    </row>
    <row r="38" spans="1:8">
      <c r="A38" s="51" t="s">
        <v>36</v>
      </c>
      <c r="B38" s="27">
        <f>5840+41+32+38+41+57</f>
        <v>6049</v>
      </c>
      <c r="C38" s="27">
        <f>2983+30+28+32+34+28</f>
        <v>3135</v>
      </c>
      <c r="D38" s="27">
        <f>10+1+2</f>
        <v>13</v>
      </c>
      <c r="E38" s="28">
        <f t="shared" si="2"/>
        <v>9197</v>
      </c>
      <c r="F38" s="29"/>
      <c r="G38" s="52">
        <v>87</v>
      </c>
      <c r="H38" s="25"/>
    </row>
    <row r="39" spans="1:8">
      <c r="A39" s="51" t="s">
        <v>37</v>
      </c>
      <c r="B39" s="27">
        <f>2244+24+26+26+31+17</f>
        <v>2368</v>
      </c>
      <c r="C39" s="27">
        <f>1026+19+12+17+15+17</f>
        <v>1106</v>
      </c>
      <c r="D39" s="27">
        <f>4+1</f>
        <v>5</v>
      </c>
      <c r="E39" s="28">
        <f t="shared" si="2"/>
        <v>3479</v>
      </c>
      <c r="F39" s="29"/>
      <c r="G39" s="52">
        <v>35</v>
      </c>
      <c r="H39" s="25"/>
    </row>
    <row r="40" spans="1:8">
      <c r="A40" s="51" t="s">
        <v>38</v>
      </c>
      <c r="B40" s="27">
        <f>687+11+6+8+9+13</f>
        <v>734</v>
      </c>
      <c r="C40" s="27">
        <f>298+6+6+1+6+8</f>
        <v>325</v>
      </c>
      <c r="D40" s="27">
        <v>1</v>
      </c>
      <c r="E40" s="28">
        <f t="shared" si="2"/>
        <v>1060</v>
      </c>
      <c r="F40" s="29"/>
      <c r="G40" s="52">
        <v>21</v>
      </c>
      <c r="H40" s="25"/>
    </row>
    <row r="41" spans="1:8" ht="15.75" thickBot="1">
      <c r="A41" s="36" t="s">
        <v>39</v>
      </c>
      <c r="B41" s="11">
        <f>SUM(B32:B40)</f>
        <v>15123</v>
      </c>
      <c r="C41" s="11">
        <f>SUM(C32:C40)</f>
        <v>8822</v>
      </c>
      <c r="D41" s="53">
        <f>SUM(D32:D40)</f>
        <v>33</v>
      </c>
      <c r="E41" s="12">
        <f t="shared" si="2"/>
        <v>23978</v>
      </c>
      <c r="F41" s="13"/>
      <c r="G41" s="54">
        <f>SUM(G32:G40)</f>
        <v>226</v>
      </c>
      <c r="H41" s="25"/>
    </row>
    <row r="42" spans="1:8" ht="15.75" thickTop="1">
      <c r="A42" s="4"/>
      <c r="B42" s="5"/>
      <c r="C42" s="5"/>
      <c r="D42" s="5"/>
      <c r="E42" s="5"/>
      <c r="F42" s="4"/>
    </row>
    <row r="43" spans="1:8">
      <c r="A43" s="63" t="s">
        <v>40</v>
      </c>
      <c r="B43" s="63"/>
      <c r="C43" s="63"/>
      <c r="D43" s="63"/>
      <c r="E43" s="63"/>
      <c r="F43" s="63"/>
      <c r="G43" s="55"/>
    </row>
    <row r="44" spans="1:8">
      <c r="A44" s="56" t="s">
        <v>41</v>
      </c>
      <c r="G44" s="55"/>
    </row>
    <row r="45" spans="1:8">
      <c r="A45" s="57" t="s">
        <v>42</v>
      </c>
      <c r="B45" s="58"/>
      <c r="G45" s="55"/>
    </row>
    <row r="46" spans="1:8">
      <c r="A46" s="57" t="s">
        <v>43</v>
      </c>
      <c r="B46" s="58"/>
      <c r="G46" s="55"/>
    </row>
    <row r="47" spans="1:8">
      <c r="A47" s="57" t="s">
        <v>44</v>
      </c>
      <c r="B47" s="58"/>
      <c r="G47" s="55"/>
    </row>
    <row r="48" spans="1:8">
      <c r="A48" s="57" t="s">
        <v>45</v>
      </c>
      <c r="B48" s="58"/>
      <c r="G48" s="55"/>
    </row>
    <row r="49" spans="1:7">
      <c r="A49" s="57" t="s">
        <v>46</v>
      </c>
      <c r="B49" s="58"/>
      <c r="G49" s="55"/>
    </row>
    <row r="50" spans="1:7">
      <c r="G50" s="55"/>
    </row>
  </sheetData>
  <sheetProtection password="84CA" sheet="1" objects="1" scenarios="1"/>
  <mergeCells count="6">
    <mergeCell ref="A43:F43"/>
    <mergeCell ref="A3:G3"/>
    <mergeCell ref="A4:G4"/>
    <mergeCell ref="A6:G6"/>
    <mergeCell ref="A7:G7"/>
    <mergeCell ref="A9:A10"/>
  </mergeCells>
  <pageMargins left="0.7" right="0.7" top="0.75" bottom="0.75" header="0.3" footer="0.3"/>
  <pageSetup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0"/>
  <sheetViews>
    <sheetView topLeftCell="A18" zoomScaleSheetLayoutView="83" workbookViewId="0">
      <selection activeCell="J41" sqref="J41"/>
    </sheetView>
  </sheetViews>
  <sheetFormatPr defaultRowHeight="15"/>
  <cols>
    <col min="1" max="1" width="45.42578125" bestFit="1" customWidth="1"/>
    <col min="2" max="2" width="10.5703125" bestFit="1" customWidth="1"/>
    <col min="3" max="3" width="10.42578125" bestFit="1" customWidth="1"/>
    <col min="4" max="4" width="9.28515625" bestFit="1" customWidth="1"/>
    <col min="5" max="5" width="11.5703125" bestFit="1" customWidth="1"/>
    <col min="7" max="7" width="9.28515625" bestFit="1" customWidth="1"/>
    <col min="8" max="8" width="14.140625" customWidth="1"/>
  </cols>
  <sheetData>
    <row r="2" spans="1:7">
      <c r="A2" s="1"/>
      <c r="B2" s="2"/>
      <c r="C2" s="2"/>
      <c r="D2" s="2"/>
      <c r="E2" s="2"/>
      <c r="F2" s="1"/>
      <c r="G2" s="2"/>
    </row>
    <row r="3" spans="1:7" ht="15.75">
      <c r="A3" s="64" t="s">
        <v>0</v>
      </c>
      <c r="B3" s="64"/>
      <c r="C3" s="64"/>
      <c r="D3" s="64"/>
      <c r="E3" s="64"/>
      <c r="F3" s="64"/>
      <c r="G3" s="64"/>
    </row>
    <row r="4" spans="1:7" ht="15.75">
      <c r="A4" s="64" t="s">
        <v>1</v>
      </c>
      <c r="B4" s="64"/>
      <c r="C4" s="64"/>
      <c r="D4" s="64"/>
      <c r="E4" s="64"/>
      <c r="F4" s="64"/>
      <c r="G4" s="64"/>
    </row>
    <row r="5" spans="1:7">
      <c r="A5" s="3"/>
      <c r="B5" s="3"/>
      <c r="C5" s="3"/>
      <c r="D5" s="3"/>
      <c r="E5" s="3"/>
      <c r="F5" s="3"/>
      <c r="G5" s="3"/>
    </row>
    <row r="6" spans="1:7">
      <c r="A6" s="65" t="s">
        <v>2</v>
      </c>
      <c r="B6" s="65"/>
      <c r="C6" s="65"/>
      <c r="D6" s="65"/>
      <c r="E6" s="65"/>
      <c r="F6" s="65"/>
      <c r="G6" s="65"/>
    </row>
    <row r="7" spans="1:7">
      <c r="A7" s="66" t="s">
        <v>47</v>
      </c>
      <c r="B7" s="66"/>
      <c r="C7" s="66"/>
      <c r="D7" s="66"/>
      <c r="E7" s="66"/>
      <c r="F7" s="66"/>
      <c r="G7" s="66"/>
    </row>
    <row r="8" spans="1:7" ht="15.75" thickBot="1">
      <c r="A8" s="4"/>
      <c r="B8" s="5"/>
      <c r="C8" s="5"/>
      <c r="D8" s="6"/>
      <c r="E8" s="5"/>
      <c r="F8" s="4"/>
    </row>
    <row r="9" spans="1:7" ht="45.75" thickTop="1">
      <c r="A9" s="67" t="s">
        <v>4</v>
      </c>
      <c r="B9" s="7" t="s">
        <v>5</v>
      </c>
      <c r="C9" s="7" t="s">
        <v>6</v>
      </c>
      <c r="D9" s="8" t="s">
        <v>7</v>
      </c>
      <c r="E9" s="9" t="s">
        <v>8</v>
      </c>
      <c r="F9" s="9"/>
      <c r="G9" s="10" t="s">
        <v>9</v>
      </c>
    </row>
    <row r="10" spans="1:7" ht="15.75" thickBot="1">
      <c r="A10" s="68"/>
      <c r="B10" s="11">
        <v>15185</v>
      </c>
      <c r="C10" s="12">
        <f>8408+81+75+81+84+93+48+1</f>
        <v>8871</v>
      </c>
      <c r="D10" s="12">
        <f>26+1+1+2+3+3</f>
        <v>36</v>
      </c>
      <c r="E10" s="12">
        <f>B10+C10+D10</f>
        <v>24092</v>
      </c>
      <c r="F10" s="13"/>
      <c r="G10" s="14">
        <v>114</v>
      </c>
    </row>
    <row r="11" spans="1:7" ht="15.75" thickTop="1">
      <c r="A11" s="15"/>
      <c r="B11" s="16"/>
      <c r="C11" s="16"/>
      <c r="D11" s="16"/>
      <c r="E11" s="16"/>
      <c r="F11" s="17"/>
      <c r="G11" s="18"/>
    </row>
    <row r="12" spans="1:7" ht="15.75" thickBot="1">
      <c r="A12" s="19" t="s">
        <v>10</v>
      </c>
      <c r="B12" s="20"/>
      <c r="C12" s="20"/>
      <c r="D12" s="20"/>
      <c r="E12" s="20"/>
      <c r="F12" s="4"/>
    </row>
    <row r="13" spans="1:7" ht="45.75" thickTop="1">
      <c r="A13" s="21" t="s">
        <v>11</v>
      </c>
      <c r="B13" s="22" t="s">
        <v>5</v>
      </c>
      <c r="C13" s="22" t="s">
        <v>6</v>
      </c>
      <c r="D13" s="22" t="s">
        <v>7</v>
      </c>
      <c r="E13" s="23" t="s">
        <v>8</v>
      </c>
      <c r="F13" s="24"/>
      <c r="G13" s="10" t="s">
        <v>9</v>
      </c>
    </row>
    <row r="14" spans="1:7">
      <c r="A14" s="26" t="s">
        <v>12</v>
      </c>
      <c r="B14" s="27">
        <f>68+1+3+2+5</f>
        <v>79</v>
      </c>
      <c r="C14" s="27">
        <f>1097+8+2+10+8+1</f>
        <v>1126</v>
      </c>
      <c r="D14" s="27">
        <v>0</v>
      </c>
      <c r="E14" s="28">
        <f>B14+C14+D14</f>
        <v>1205</v>
      </c>
      <c r="F14" s="29"/>
      <c r="G14" s="30">
        <v>9</v>
      </c>
    </row>
    <row r="15" spans="1:7">
      <c r="A15" s="26" t="s">
        <v>13</v>
      </c>
      <c r="B15" s="27">
        <f>2866+3+2+3+3+7+3</f>
        <v>2887</v>
      </c>
      <c r="C15" s="27">
        <f>71+1+1</f>
        <v>73</v>
      </c>
      <c r="D15" s="27">
        <f>6+2</f>
        <v>8</v>
      </c>
      <c r="E15" s="28">
        <f t="shared" ref="E15:E25" si="0">B15+C15+D15</f>
        <v>2968</v>
      </c>
      <c r="F15" s="29" t="s">
        <v>14</v>
      </c>
      <c r="G15" s="30">
        <v>4</v>
      </c>
    </row>
    <row r="16" spans="1:7">
      <c r="A16" s="26" t="s">
        <v>15</v>
      </c>
      <c r="B16" s="27">
        <f>285+5+3+4+2+2+3</f>
        <v>304</v>
      </c>
      <c r="C16" s="27">
        <v>1</v>
      </c>
      <c r="D16" s="27">
        <f>17+1+1+3+2</f>
        <v>24</v>
      </c>
      <c r="E16" s="28">
        <f t="shared" si="0"/>
        <v>329</v>
      </c>
      <c r="F16" s="29"/>
      <c r="G16" s="30">
        <v>5</v>
      </c>
    </row>
    <row r="17" spans="1:7">
      <c r="A17" s="31" t="s">
        <v>16</v>
      </c>
      <c r="B17" s="27">
        <f>61+2+1+3</f>
        <v>67</v>
      </c>
      <c r="C17" s="27">
        <f>25+1+1</f>
        <v>27</v>
      </c>
      <c r="D17" s="27">
        <v>0</v>
      </c>
      <c r="E17" s="28">
        <f t="shared" si="0"/>
        <v>94</v>
      </c>
      <c r="F17" s="29"/>
      <c r="G17" s="30">
        <v>1</v>
      </c>
    </row>
    <row r="18" spans="1:7">
      <c r="A18" s="26" t="s">
        <v>17</v>
      </c>
      <c r="B18" s="27">
        <f>8985+29+27+28+26+29+31+2</f>
        <v>9157</v>
      </c>
      <c r="C18" s="27">
        <f>141+1+4+1</f>
        <v>147</v>
      </c>
      <c r="D18" s="27">
        <v>1</v>
      </c>
      <c r="E18" s="28">
        <f t="shared" si="0"/>
        <v>9305</v>
      </c>
      <c r="F18" s="29"/>
      <c r="G18" s="30">
        <v>35</v>
      </c>
    </row>
    <row r="19" spans="1:7">
      <c r="A19" s="26" t="s">
        <v>18</v>
      </c>
      <c r="B19" s="27">
        <v>0</v>
      </c>
      <c r="C19" s="27">
        <f>5721+36+37+36+14</f>
        <v>5844</v>
      </c>
      <c r="D19" s="27">
        <v>1</v>
      </c>
      <c r="E19" s="28">
        <f t="shared" si="0"/>
        <v>5845</v>
      </c>
      <c r="F19" s="29"/>
      <c r="G19" s="30">
        <v>14</v>
      </c>
    </row>
    <row r="20" spans="1:7">
      <c r="A20" s="26" t="s">
        <v>19</v>
      </c>
      <c r="B20" s="27">
        <f>125+2+4+1+5</f>
        <v>137</v>
      </c>
      <c r="C20" s="27">
        <v>0</v>
      </c>
      <c r="D20" s="27">
        <v>0</v>
      </c>
      <c r="E20" s="28">
        <f t="shared" si="0"/>
        <v>137</v>
      </c>
      <c r="F20" s="29" t="s">
        <v>20</v>
      </c>
      <c r="G20" s="30">
        <v>0</v>
      </c>
    </row>
    <row r="21" spans="1:7">
      <c r="A21" s="26" t="s">
        <v>21</v>
      </c>
      <c r="B21" s="27">
        <f>944+47+44+36+62+62+20</f>
        <v>1215</v>
      </c>
      <c r="C21" s="27">
        <f>43+3+2+2+1</f>
        <v>51</v>
      </c>
      <c r="D21" s="27">
        <v>0</v>
      </c>
      <c r="E21" s="28">
        <f t="shared" si="0"/>
        <v>1266</v>
      </c>
      <c r="F21" s="29"/>
      <c r="G21" s="30">
        <v>20</v>
      </c>
    </row>
    <row r="22" spans="1:7">
      <c r="A22" s="26" t="s">
        <v>22</v>
      </c>
      <c r="B22" s="27">
        <f>35+1+1+1</f>
        <v>38</v>
      </c>
      <c r="C22" s="27">
        <f>661+23+31+30+13</f>
        <v>758</v>
      </c>
      <c r="D22" s="27">
        <v>0</v>
      </c>
      <c r="E22" s="28">
        <f t="shared" si="0"/>
        <v>796</v>
      </c>
      <c r="F22" s="29"/>
      <c r="G22" s="30">
        <v>14</v>
      </c>
    </row>
    <row r="23" spans="1:7">
      <c r="A23" s="26" t="s">
        <v>23</v>
      </c>
      <c r="B23" s="27">
        <v>0</v>
      </c>
      <c r="C23" s="27">
        <v>0</v>
      </c>
      <c r="D23" s="27">
        <v>0</v>
      </c>
      <c r="E23" s="28">
        <f t="shared" si="0"/>
        <v>0</v>
      </c>
      <c r="F23" s="32"/>
      <c r="G23" s="30">
        <v>0</v>
      </c>
    </row>
    <row r="24" spans="1:7">
      <c r="A24" s="33" t="s">
        <v>24</v>
      </c>
      <c r="B24" s="27">
        <f>980+11+8+10+12+16+1</f>
        <v>1038</v>
      </c>
      <c r="C24" s="27">
        <f>647+5+8+7+5+8+10</f>
        <v>690</v>
      </c>
      <c r="D24" s="27">
        <v>0</v>
      </c>
      <c r="E24" s="28">
        <f t="shared" si="0"/>
        <v>1728</v>
      </c>
      <c r="F24" s="34"/>
      <c r="G24" s="30">
        <v>11</v>
      </c>
    </row>
    <row r="25" spans="1:7">
      <c r="A25" s="35" t="s">
        <v>25</v>
      </c>
      <c r="B25" s="27">
        <f>211+12+5+18+7+9+1</f>
        <v>263</v>
      </c>
      <c r="C25" s="27">
        <f>138+7+6+3</f>
        <v>154</v>
      </c>
      <c r="D25" s="27">
        <v>2</v>
      </c>
      <c r="E25" s="28">
        <f t="shared" si="0"/>
        <v>419</v>
      </c>
      <c r="F25" s="29"/>
      <c r="G25" s="30">
        <v>1</v>
      </c>
    </row>
    <row r="26" spans="1:7" ht="15.75" thickBot="1">
      <c r="A26" s="36" t="s">
        <v>8</v>
      </c>
      <c r="B26" s="37">
        <f>SUM(B14:B25)</f>
        <v>15185</v>
      </c>
      <c r="C26" s="37">
        <f t="shared" ref="C26:E26" si="1">SUM(C14:C25)</f>
        <v>8871</v>
      </c>
      <c r="D26" s="37">
        <f t="shared" si="1"/>
        <v>36</v>
      </c>
      <c r="E26" s="37">
        <f t="shared" si="1"/>
        <v>24092</v>
      </c>
      <c r="F26" s="13"/>
      <c r="G26" s="38">
        <f>SUM(G14:G25)</f>
        <v>114</v>
      </c>
    </row>
    <row r="27" spans="1:7" ht="15.75" thickTop="1">
      <c r="A27" s="39" t="s">
        <v>26</v>
      </c>
      <c r="B27" s="40"/>
      <c r="C27" s="41"/>
      <c r="D27" s="41"/>
      <c r="E27" s="41"/>
      <c r="F27" s="42"/>
      <c r="G27" s="43"/>
    </row>
    <row r="28" spans="1:7">
      <c r="A28" s="44" t="s">
        <v>27</v>
      </c>
      <c r="B28" s="45"/>
      <c r="C28" s="45"/>
      <c r="D28" s="45"/>
      <c r="E28" s="45"/>
      <c r="F28" s="46"/>
      <c r="G28" s="47"/>
    </row>
    <row r="29" spans="1:7">
      <c r="A29" s="44"/>
      <c r="B29" s="45"/>
      <c r="C29" s="45"/>
      <c r="D29" s="45"/>
      <c r="E29" s="45"/>
      <c r="F29" s="46"/>
      <c r="G29" s="47"/>
    </row>
    <row r="30" spans="1:7" ht="15.75" thickBot="1">
      <c r="A30" s="19" t="s">
        <v>28</v>
      </c>
      <c r="B30" s="20"/>
      <c r="C30" s="20"/>
      <c r="D30" s="20"/>
      <c r="E30" s="20"/>
      <c r="F30" s="4"/>
    </row>
    <row r="31" spans="1:7" ht="45.75" thickTop="1">
      <c r="A31" s="48" t="s">
        <v>29</v>
      </c>
      <c r="B31" s="22" t="s">
        <v>5</v>
      </c>
      <c r="C31" s="22" t="s">
        <v>6</v>
      </c>
      <c r="D31" s="49" t="s">
        <v>7</v>
      </c>
      <c r="E31" s="49" t="s">
        <v>8</v>
      </c>
      <c r="F31" s="24"/>
      <c r="G31" s="10" t="s">
        <v>9</v>
      </c>
    </row>
    <row r="32" spans="1:7">
      <c r="A32" s="51" t="s">
        <v>30</v>
      </c>
      <c r="B32" s="27">
        <f>374+2+3+3+7+1</f>
        <v>390</v>
      </c>
      <c r="C32" s="27">
        <f>222+1+3+2+1+1</f>
        <v>230</v>
      </c>
      <c r="D32" s="27">
        <v>0</v>
      </c>
      <c r="E32" s="28">
        <f>B32+C32+D32</f>
        <v>620</v>
      </c>
      <c r="F32" s="29"/>
      <c r="G32" s="52">
        <v>1</v>
      </c>
    </row>
    <row r="33" spans="1:7">
      <c r="A33" s="51" t="s">
        <v>31</v>
      </c>
      <c r="B33" s="27">
        <f>412+5+3+3+4+12+1</f>
        <v>440</v>
      </c>
      <c r="C33" s="27">
        <f>292+1+5+3+1+5+2</f>
        <v>309</v>
      </c>
      <c r="D33" s="27">
        <v>0</v>
      </c>
      <c r="E33" s="28">
        <f t="shared" ref="E33:E41" si="2">B33+C33+D33</f>
        <v>749</v>
      </c>
      <c r="F33" s="29"/>
      <c r="G33" s="52">
        <v>3</v>
      </c>
    </row>
    <row r="34" spans="1:7">
      <c r="A34" s="51" t="s">
        <v>32</v>
      </c>
      <c r="B34" s="27">
        <f>188+6+3+4+2+2</f>
        <v>205</v>
      </c>
      <c r="C34" s="27">
        <f>130+4+2+1+7</f>
        <v>144</v>
      </c>
      <c r="D34" s="27">
        <v>0</v>
      </c>
      <c r="E34" s="28">
        <f t="shared" si="2"/>
        <v>349</v>
      </c>
      <c r="F34" s="29"/>
      <c r="G34" s="52">
        <v>7</v>
      </c>
    </row>
    <row r="35" spans="1:7">
      <c r="A35" s="51" t="s">
        <v>33</v>
      </c>
      <c r="B35" s="27">
        <f>325+2+1+3+2+2+1</f>
        <v>336</v>
      </c>
      <c r="C35" s="27">
        <f>366+3+2+2+2+5+1</f>
        <v>381</v>
      </c>
      <c r="D35" s="27">
        <v>3</v>
      </c>
      <c r="E35" s="28">
        <f t="shared" si="2"/>
        <v>720</v>
      </c>
      <c r="F35" s="29"/>
      <c r="G35" s="52">
        <v>2</v>
      </c>
    </row>
    <row r="36" spans="1:7">
      <c r="A36" s="51" t="s">
        <v>34</v>
      </c>
      <c r="B36" s="27">
        <f>1573+4+7+5+4+13+5</f>
        <v>1611</v>
      </c>
      <c r="C36" s="27">
        <f>1229+8+9+6+3+12+4</f>
        <v>1271</v>
      </c>
      <c r="D36" s="27">
        <f>4+2+2</f>
        <v>8</v>
      </c>
      <c r="E36" s="28">
        <f t="shared" si="2"/>
        <v>2890</v>
      </c>
      <c r="F36" s="29"/>
      <c r="G36" s="52">
        <v>11</v>
      </c>
    </row>
    <row r="37" spans="1:7">
      <c r="A37" s="51" t="s">
        <v>35</v>
      </c>
      <c r="B37" s="27">
        <f>2917+16+14+14+23+13+6</f>
        <v>3003</v>
      </c>
      <c r="C37" s="27">
        <f>1862+10+10+17+20+17+5</f>
        <v>1941</v>
      </c>
      <c r="D37" s="27">
        <f>4+1+1</f>
        <v>6</v>
      </c>
      <c r="E37" s="28">
        <f t="shared" si="2"/>
        <v>4950</v>
      </c>
      <c r="F37" s="29"/>
      <c r="G37" s="52">
        <v>12</v>
      </c>
    </row>
    <row r="38" spans="1:7">
      <c r="A38" s="51" t="s">
        <v>36</v>
      </c>
      <c r="B38" s="27">
        <f>5840+41+32+38+41+57+28</f>
        <v>6077</v>
      </c>
      <c r="C38" s="27">
        <f>2983+30+28+32+34+28+18+1</f>
        <v>3154</v>
      </c>
      <c r="D38" s="27">
        <f>10+1+2</f>
        <v>13</v>
      </c>
      <c r="E38" s="28">
        <f t="shared" si="2"/>
        <v>9244</v>
      </c>
      <c r="F38" s="29"/>
      <c r="G38" s="52">
        <v>47</v>
      </c>
    </row>
    <row r="39" spans="1:7">
      <c r="A39" s="51" t="s">
        <v>37</v>
      </c>
      <c r="B39" s="27">
        <f>2244+24+26+26+31+17+12+2</f>
        <v>2382</v>
      </c>
      <c r="C39" s="27">
        <f>1026+19+12+17+15+17+5</f>
        <v>1111</v>
      </c>
      <c r="D39" s="27">
        <f>4+1</f>
        <v>5</v>
      </c>
      <c r="E39" s="28">
        <f t="shared" si="2"/>
        <v>3498</v>
      </c>
      <c r="F39" s="29"/>
      <c r="G39" s="52">
        <v>19</v>
      </c>
    </row>
    <row r="40" spans="1:7">
      <c r="A40" s="51" t="s">
        <v>38</v>
      </c>
      <c r="B40" s="27">
        <f>687+11+6+8+9+13+7</f>
        <v>741</v>
      </c>
      <c r="C40" s="27">
        <f>298+6+6+1+6+8+5</f>
        <v>330</v>
      </c>
      <c r="D40" s="27">
        <v>1</v>
      </c>
      <c r="E40" s="28">
        <f t="shared" si="2"/>
        <v>1072</v>
      </c>
      <c r="F40" s="29"/>
      <c r="G40" s="52">
        <v>12</v>
      </c>
    </row>
    <row r="41" spans="1:7" ht="15.75" thickBot="1">
      <c r="A41" s="36" t="s">
        <v>39</v>
      </c>
      <c r="B41" s="11">
        <f>SUM(B32:B40)</f>
        <v>15185</v>
      </c>
      <c r="C41" s="11">
        <f>SUM(C32:C40)</f>
        <v>8871</v>
      </c>
      <c r="D41" s="53">
        <f>SUM(D32:D40)</f>
        <v>36</v>
      </c>
      <c r="E41" s="12">
        <f t="shared" si="2"/>
        <v>24092</v>
      </c>
      <c r="F41" s="13"/>
      <c r="G41" s="54">
        <f>SUM(G32:G40)</f>
        <v>114</v>
      </c>
    </row>
    <row r="42" spans="1:7" ht="15.75" thickTop="1">
      <c r="A42" s="4"/>
      <c r="B42" s="5"/>
      <c r="C42" s="5"/>
      <c r="D42" s="5"/>
      <c r="E42" s="5"/>
      <c r="F42" s="4"/>
    </row>
    <row r="43" spans="1:7">
      <c r="A43" s="63" t="s">
        <v>55</v>
      </c>
      <c r="B43" s="63"/>
      <c r="C43" s="63"/>
      <c r="D43" s="63"/>
      <c r="E43" s="63"/>
      <c r="F43" s="63"/>
      <c r="G43" s="55"/>
    </row>
    <row r="44" spans="1:7">
      <c r="A44" s="56" t="s">
        <v>41</v>
      </c>
      <c r="G44" s="55"/>
    </row>
    <row r="45" spans="1:7">
      <c r="A45" s="57" t="s">
        <v>42</v>
      </c>
      <c r="B45" s="58"/>
      <c r="G45" s="55"/>
    </row>
    <row r="46" spans="1:7">
      <c r="A46" s="57" t="s">
        <v>43</v>
      </c>
      <c r="B46" s="58"/>
      <c r="G46" s="55"/>
    </row>
    <row r="47" spans="1:7">
      <c r="A47" s="57" t="s">
        <v>44</v>
      </c>
      <c r="B47" s="58"/>
      <c r="G47" s="55"/>
    </row>
    <row r="48" spans="1:7">
      <c r="A48" s="57" t="s">
        <v>45</v>
      </c>
      <c r="B48" s="58"/>
      <c r="G48" s="55"/>
    </row>
    <row r="49" spans="1:7">
      <c r="A49" s="57" t="s">
        <v>46</v>
      </c>
      <c r="B49" s="58"/>
      <c r="G49" s="55"/>
    </row>
    <row r="50" spans="1:7">
      <c r="G50" s="55"/>
    </row>
  </sheetData>
  <mergeCells count="6">
    <mergeCell ref="A43:F43"/>
    <mergeCell ref="A3:G3"/>
    <mergeCell ref="A4:G4"/>
    <mergeCell ref="A6:G6"/>
    <mergeCell ref="A7:G7"/>
    <mergeCell ref="A9:A10"/>
  </mergeCells>
  <pageMargins left="0.7" right="0.7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0"/>
  <sheetViews>
    <sheetView tabSelected="1" topLeftCell="A18" workbookViewId="0">
      <selection sqref="A1:G50"/>
    </sheetView>
  </sheetViews>
  <sheetFormatPr defaultRowHeight="15"/>
  <cols>
    <col min="1" max="1" width="45.42578125" bestFit="1" customWidth="1"/>
    <col min="2" max="2" width="10.5703125" bestFit="1" customWidth="1"/>
    <col min="3" max="3" width="10.42578125" bestFit="1" customWidth="1"/>
    <col min="4" max="4" width="9.28515625" bestFit="1" customWidth="1"/>
    <col min="5" max="5" width="11.5703125" bestFit="1" customWidth="1"/>
    <col min="7" max="7" width="9.28515625" bestFit="1" customWidth="1"/>
  </cols>
  <sheetData>
    <row r="2" spans="1:7">
      <c r="A2" s="1"/>
      <c r="B2" s="2"/>
      <c r="C2" s="2"/>
      <c r="D2" s="2"/>
      <c r="E2" s="2"/>
      <c r="F2" s="1"/>
      <c r="G2" s="2"/>
    </row>
    <row r="3" spans="1:7" ht="15.75">
      <c r="A3" s="64" t="s">
        <v>0</v>
      </c>
      <c r="B3" s="64"/>
      <c r="C3" s="64"/>
      <c r="D3" s="64"/>
      <c r="E3" s="64"/>
      <c r="F3" s="64"/>
      <c r="G3" s="64"/>
    </row>
    <row r="4" spans="1:7" ht="15.75">
      <c r="A4" s="64" t="s">
        <v>1</v>
      </c>
      <c r="B4" s="64"/>
      <c r="C4" s="64"/>
      <c r="D4" s="64"/>
      <c r="E4" s="64"/>
      <c r="F4" s="64"/>
      <c r="G4" s="64"/>
    </row>
    <row r="5" spans="1:7">
      <c r="A5" s="3"/>
      <c r="B5" s="3"/>
      <c r="C5" s="3"/>
      <c r="D5" s="3"/>
      <c r="E5" s="3"/>
      <c r="F5" s="3"/>
      <c r="G5" s="3"/>
    </row>
    <row r="6" spans="1:7">
      <c r="A6" s="65" t="s">
        <v>2</v>
      </c>
      <c r="B6" s="65"/>
      <c r="C6" s="65"/>
      <c r="D6" s="65"/>
      <c r="E6" s="65"/>
      <c r="F6" s="65"/>
      <c r="G6" s="65"/>
    </row>
    <row r="7" spans="1:7">
      <c r="A7" s="66" t="s">
        <v>48</v>
      </c>
      <c r="B7" s="66"/>
      <c r="C7" s="66"/>
      <c r="D7" s="66"/>
      <c r="E7" s="66"/>
      <c r="F7" s="66"/>
      <c r="G7" s="66"/>
    </row>
    <row r="8" spans="1:7" ht="15.75" thickBot="1">
      <c r="A8" s="4"/>
      <c r="B8" s="60"/>
      <c r="C8" s="60"/>
      <c r="D8" s="6"/>
      <c r="E8" s="60"/>
      <c r="F8" s="4"/>
    </row>
    <row r="9" spans="1:7" ht="45.75" thickTop="1">
      <c r="A9" s="67" t="s">
        <v>4</v>
      </c>
      <c r="B9" s="7" t="s">
        <v>5</v>
      </c>
      <c r="C9" s="7" t="s">
        <v>6</v>
      </c>
      <c r="D9" s="8" t="s">
        <v>7</v>
      </c>
      <c r="E9" s="9" t="s">
        <v>8</v>
      </c>
      <c r="F9" s="9"/>
      <c r="G9" s="10" t="s">
        <v>9</v>
      </c>
    </row>
    <row r="10" spans="1:7" ht="15.75" thickBot="1">
      <c r="A10" s="68"/>
      <c r="B10" s="11">
        <f>15185+66</f>
        <v>15251</v>
      </c>
      <c r="C10" s="12">
        <f>8408+81+75+81+84+93+48+1+56</f>
        <v>8927</v>
      </c>
      <c r="D10" s="12">
        <f>26+1+1+2+3+3+2</f>
        <v>38</v>
      </c>
      <c r="E10" s="12">
        <f>B10+C10+D10</f>
        <v>24216</v>
      </c>
      <c r="F10" s="13"/>
      <c r="G10" s="14">
        <v>124</v>
      </c>
    </row>
    <row r="11" spans="1:7" ht="15.75" thickTop="1">
      <c r="A11" s="15"/>
      <c r="B11" s="16"/>
      <c r="C11" s="16"/>
      <c r="D11" s="16"/>
      <c r="E11" s="16"/>
      <c r="F11" s="17"/>
      <c r="G11" s="18"/>
    </row>
    <row r="12" spans="1:7" ht="15.75" thickBot="1">
      <c r="A12" s="19" t="s">
        <v>10</v>
      </c>
      <c r="B12" s="20"/>
      <c r="C12" s="20"/>
      <c r="D12" s="20"/>
      <c r="E12" s="20"/>
      <c r="F12" s="4"/>
    </row>
    <row r="13" spans="1:7" ht="45.75" thickTop="1">
      <c r="A13" s="21" t="s">
        <v>11</v>
      </c>
      <c r="B13" s="22" t="s">
        <v>5</v>
      </c>
      <c r="C13" s="22" t="s">
        <v>6</v>
      </c>
      <c r="D13" s="22" t="s">
        <v>7</v>
      </c>
      <c r="E13" s="23" t="s">
        <v>8</v>
      </c>
      <c r="F13" s="24"/>
      <c r="G13" s="10" t="s">
        <v>9</v>
      </c>
    </row>
    <row r="14" spans="1:7">
      <c r="A14" s="26" t="s">
        <v>12</v>
      </c>
      <c r="B14" s="27">
        <f>68+1+3+2+5</f>
        <v>79</v>
      </c>
      <c r="C14" s="27">
        <f>1097+8+2+10+8+1+2</f>
        <v>1128</v>
      </c>
      <c r="D14" s="27">
        <v>0</v>
      </c>
      <c r="E14" s="28">
        <f>B14+C14+D14</f>
        <v>1207</v>
      </c>
      <c r="F14" s="29"/>
      <c r="G14" s="30">
        <v>2</v>
      </c>
    </row>
    <row r="15" spans="1:7">
      <c r="A15" s="26" t="s">
        <v>13</v>
      </c>
      <c r="B15" s="27">
        <f>2866+3+2+3+3+7+3+1</f>
        <v>2888</v>
      </c>
      <c r="C15" s="27">
        <f>71+1+1</f>
        <v>73</v>
      </c>
      <c r="D15" s="27">
        <f>6+2</f>
        <v>8</v>
      </c>
      <c r="E15" s="28">
        <f t="shared" ref="E15:E25" si="0">B15+C15+D15</f>
        <v>2969</v>
      </c>
      <c r="F15" s="29" t="s">
        <v>14</v>
      </c>
      <c r="G15" s="30">
        <v>1</v>
      </c>
    </row>
    <row r="16" spans="1:7">
      <c r="A16" s="26" t="s">
        <v>15</v>
      </c>
      <c r="B16" s="27">
        <f>285+5+3+4+2+2+3+2</f>
        <v>306</v>
      </c>
      <c r="C16" s="27">
        <v>1</v>
      </c>
      <c r="D16" s="27">
        <f>17+1+1+3+2+2</f>
        <v>26</v>
      </c>
      <c r="E16" s="28">
        <f t="shared" si="0"/>
        <v>333</v>
      </c>
      <c r="F16" s="29"/>
      <c r="G16" s="30">
        <v>4</v>
      </c>
    </row>
    <row r="17" spans="1:7">
      <c r="A17" s="31" t="s">
        <v>16</v>
      </c>
      <c r="B17" s="27">
        <f>61+2+1+3</f>
        <v>67</v>
      </c>
      <c r="C17" s="27">
        <f>25+1+1+3</f>
        <v>30</v>
      </c>
      <c r="D17" s="27">
        <v>0</v>
      </c>
      <c r="E17" s="28">
        <f t="shared" si="0"/>
        <v>97</v>
      </c>
      <c r="F17" s="29"/>
      <c r="G17" s="30">
        <v>3</v>
      </c>
    </row>
    <row r="18" spans="1:7">
      <c r="A18" s="26" t="s">
        <v>17</v>
      </c>
      <c r="B18" s="27">
        <f>8985+29+27+28+26+29+31+2+24</f>
        <v>9181</v>
      </c>
      <c r="C18" s="27">
        <f>141+1+4+1+1</f>
        <v>148</v>
      </c>
      <c r="D18" s="27">
        <v>1</v>
      </c>
      <c r="E18" s="28">
        <f t="shared" si="0"/>
        <v>9330</v>
      </c>
      <c r="F18" s="29"/>
      <c r="G18" s="30">
        <v>25</v>
      </c>
    </row>
    <row r="19" spans="1:7">
      <c r="A19" s="26" t="s">
        <v>18</v>
      </c>
      <c r="B19" s="27">
        <v>0</v>
      </c>
      <c r="C19" s="27">
        <f>5721+36+37+36+14+24</f>
        <v>5868</v>
      </c>
      <c r="D19" s="27">
        <v>1</v>
      </c>
      <c r="E19" s="28">
        <f t="shared" si="0"/>
        <v>5869</v>
      </c>
      <c r="F19" s="29"/>
      <c r="G19" s="30">
        <v>24</v>
      </c>
    </row>
    <row r="20" spans="1:7">
      <c r="A20" s="26" t="s">
        <v>19</v>
      </c>
      <c r="B20" s="27">
        <f>125+2+4+1+5+1</f>
        <v>138</v>
      </c>
      <c r="C20" s="27">
        <v>0</v>
      </c>
      <c r="D20" s="27">
        <v>0</v>
      </c>
      <c r="E20" s="28">
        <f t="shared" si="0"/>
        <v>138</v>
      </c>
      <c r="F20" s="29" t="s">
        <v>20</v>
      </c>
      <c r="G20" s="30">
        <v>1</v>
      </c>
    </row>
    <row r="21" spans="1:7">
      <c r="A21" s="26" t="s">
        <v>21</v>
      </c>
      <c r="B21" s="27">
        <f>944+47+44+36+62+62+20+30</f>
        <v>1245</v>
      </c>
      <c r="C21" s="27">
        <f>43+3+2+2+1+3</f>
        <v>54</v>
      </c>
      <c r="D21" s="27">
        <v>0</v>
      </c>
      <c r="E21" s="28">
        <f t="shared" si="0"/>
        <v>1299</v>
      </c>
      <c r="F21" s="29"/>
      <c r="G21" s="30">
        <v>33</v>
      </c>
    </row>
    <row r="22" spans="1:7">
      <c r="A22" s="26" t="s">
        <v>22</v>
      </c>
      <c r="B22" s="27">
        <f>35+1+1+1</f>
        <v>38</v>
      </c>
      <c r="C22" s="27">
        <f>661+23+31+30+13+16</f>
        <v>774</v>
      </c>
      <c r="D22" s="27">
        <v>0</v>
      </c>
      <c r="E22" s="28">
        <f t="shared" si="0"/>
        <v>812</v>
      </c>
      <c r="F22" s="29"/>
      <c r="G22" s="30">
        <v>16</v>
      </c>
    </row>
    <row r="23" spans="1:7">
      <c r="A23" s="26" t="s">
        <v>23</v>
      </c>
      <c r="B23" s="27">
        <v>0</v>
      </c>
      <c r="C23" s="27">
        <v>0</v>
      </c>
      <c r="D23" s="27">
        <v>0</v>
      </c>
      <c r="E23" s="28">
        <f t="shared" si="0"/>
        <v>0</v>
      </c>
      <c r="F23" s="32"/>
      <c r="G23" s="30">
        <v>0</v>
      </c>
    </row>
    <row r="24" spans="1:7">
      <c r="A24" s="33" t="s">
        <v>24</v>
      </c>
      <c r="B24" s="27">
        <f>980+11+8+10+12+16+1+6</f>
        <v>1044</v>
      </c>
      <c r="C24" s="27">
        <f>647+5+8+7+5+8+10+2</f>
        <v>692</v>
      </c>
      <c r="D24" s="27">
        <v>0</v>
      </c>
      <c r="E24" s="28">
        <f t="shared" si="0"/>
        <v>1736</v>
      </c>
      <c r="F24" s="34"/>
      <c r="G24" s="30">
        <v>8</v>
      </c>
    </row>
    <row r="25" spans="1:7">
      <c r="A25" s="35" t="s">
        <v>25</v>
      </c>
      <c r="B25" s="27">
        <f>211+12+5+18+7+9+1+2</f>
        <v>265</v>
      </c>
      <c r="C25" s="27">
        <f>138+7+6+3+5</f>
        <v>159</v>
      </c>
      <c r="D25" s="27">
        <v>2</v>
      </c>
      <c r="E25" s="28">
        <f t="shared" si="0"/>
        <v>426</v>
      </c>
      <c r="F25" s="29"/>
      <c r="G25" s="30">
        <v>7</v>
      </c>
    </row>
    <row r="26" spans="1:7" ht="15.75" thickBot="1">
      <c r="A26" s="36" t="s">
        <v>8</v>
      </c>
      <c r="B26" s="37">
        <f>SUM(B14:B25)</f>
        <v>15251</v>
      </c>
      <c r="C26" s="37">
        <f t="shared" ref="C26:E26" si="1">SUM(C14:C25)</f>
        <v>8927</v>
      </c>
      <c r="D26" s="37">
        <f t="shared" si="1"/>
        <v>38</v>
      </c>
      <c r="E26" s="37">
        <f t="shared" si="1"/>
        <v>24216</v>
      </c>
      <c r="F26" s="13"/>
      <c r="G26" s="38">
        <f>SUM(G14:G25)</f>
        <v>124</v>
      </c>
    </row>
    <row r="27" spans="1:7" ht="15.75" thickTop="1">
      <c r="A27" s="39" t="s">
        <v>26</v>
      </c>
      <c r="B27" s="40"/>
      <c r="C27" s="41"/>
      <c r="D27" s="41"/>
      <c r="E27" s="41"/>
      <c r="F27" s="42"/>
      <c r="G27" s="43"/>
    </row>
    <row r="28" spans="1:7">
      <c r="A28" s="44" t="s">
        <v>27</v>
      </c>
      <c r="B28" s="45"/>
      <c r="C28" s="45"/>
      <c r="D28" s="45"/>
      <c r="E28" s="45"/>
      <c r="F28" s="46"/>
      <c r="G28" s="47"/>
    </row>
    <row r="29" spans="1:7">
      <c r="A29" s="44"/>
      <c r="B29" s="45"/>
      <c r="C29" s="45"/>
      <c r="D29" s="45"/>
      <c r="E29" s="45"/>
      <c r="F29" s="46"/>
      <c r="G29" s="47"/>
    </row>
    <row r="30" spans="1:7" ht="15.75" thickBot="1">
      <c r="A30" s="19" t="s">
        <v>28</v>
      </c>
      <c r="B30" s="20"/>
      <c r="C30" s="20"/>
      <c r="D30" s="20"/>
      <c r="E30" s="20"/>
      <c r="F30" s="4"/>
    </row>
    <row r="31" spans="1:7" ht="45.75" thickTop="1">
      <c r="A31" s="48" t="s">
        <v>29</v>
      </c>
      <c r="B31" s="22" t="s">
        <v>5</v>
      </c>
      <c r="C31" s="22" t="s">
        <v>6</v>
      </c>
      <c r="D31" s="49" t="s">
        <v>7</v>
      </c>
      <c r="E31" s="49" t="s">
        <v>8</v>
      </c>
      <c r="F31" s="24"/>
      <c r="G31" s="10" t="s">
        <v>9</v>
      </c>
    </row>
    <row r="32" spans="1:7">
      <c r="A32" s="51" t="s">
        <v>30</v>
      </c>
      <c r="B32" s="27">
        <f>374+2+3+3+7+1+1</f>
        <v>391</v>
      </c>
      <c r="C32" s="27">
        <f>222+1+3+2+1+1+1</f>
        <v>231</v>
      </c>
      <c r="D32" s="27">
        <v>0</v>
      </c>
      <c r="E32" s="28">
        <f>B32+C32+D32</f>
        <v>622</v>
      </c>
      <c r="F32" s="29"/>
      <c r="G32" s="52">
        <v>2</v>
      </c>
    </row>
    <row r="33" spans="1:7">
      <c r="A33" s="51" t="s">
        <v>31</v>
      </c>
      <c r="B33" s="27">
        <f>412+5+3+3+4+12+1+4</f>
        <v>444</v>
      </c>
      <c r="C33" s="27">
        <f>292+1+5+3+1+5+2</f>
        <v>309</v>
      </c>
      <c r="D33" s="27">
        <v>0</v>
      </c>
      <c r="E33" s="28">
        <f t="shared" ref="E33:E41" si="2">B33+C33+D33</f>
        <v>753</v>
      </c>
      <c r="F33" s="29"/>
      <c r="G33" s="52">
        <v>4</v>
      </c>
    </row>
    <row r="34" spans="1:7">
      <c r="A34" s="51" t="s">
        <v>32</v>
      </c>
      <c r="B34" s="27">
        <f>188+6+3+4+2+2+1</f>
        <v>206</v>
      </c>
      <c r="C34" s="27">
        <f>130+4+2+1+7+2</f>
        <v>146</v>
      </c>
      <c r="D34" s="27">
        <v>0</v>
      </c>
      <c r="E34" s="28">
        <f t="shared" si="2"/>
        <v>352</v>
      </c>
      <c r="F34" s="29"/>
      <c r="G34" s="52">
        <v>3</v>
      </c>
    </row>
    <row r="35" spans="1:7">
      <c r="A35" s="51" t="s">
        <v>33</v>
      </c>
      <c r="B35" s="27">
        <f>325+2+1+3+2+2+1+1</f>
        <v>337</v>
      </c>
      <c r="C35" s="27">
        <f>366+3+2+2+2+5+1+2</f>
        <v>383</v>
      </c>
      <c r="D35" s="27">
        <v>3</v>
      </c>
      <c r="E35" s="28">
        <f t="shared" si="2"/>
        <v>723</v>
      </c>
      <c r="F35" s="29"/>
      <c r="G35" s="52">
        <v>3</v>
      </c>
    </row>
    <row r="36" spans="1:7">
      <c r="A36" s="51" t="s">
        <v>34</v>
      </c>
      <c r="B36" s="27">
        <f>1573+4+7+5+4+13+5+6</f>
        <v>1617</v>
      </c>
      <c r="C36" s="27">
        <f>1229+8+9+6+3+12+4+6</f>
        <v>1277</v>
      </c>
      <c r="D36" s="27">
        <f>4+2+2</f>
        <v>8</v>
      </c>
      <c r="E36" s="28">
        <f t="shared" si="2"/>
        <v>2902</v>
      </c>
      <c r="F36" s="29"/>
      <c r="G36" s="52">
        <v>12</v>
      </c>
    </row>
    <row r="37" spans="1:7">
      <c r="A37" s="51" t="s">
        <v>35</v>
      </c>
      <c r="B37" s="27">
        <f>2917+16+14+14+23+13+6+9</f>
        <v>3012</v>
      </c>
      <c r="C37" s="27">
        <f>1862+10+10+17+20+17+5+11</f>
        <v>1952</v>
      </c>
      <c r="D37" s="27">
        <f>4+1+1+1</f>
        <v>7</v>
      </c>
      <c r="E37" s="28">
        <f t="shared" si="2"/>
        <v>4971</v>
      </c>
      <c r="F37" s="29"/>
      <c r="G37" s="52">
        <v>21</v>
      </c>
    </row>
    <row r="38" spans="1:7">
      <c r="A38" s="51" t="s">
        <v>36</v>
      </c>
      <c r="B38" s="27">
        <f>5840+41+32+38+41+57+28+23</f>
        <v>6100</v>
      </c>
      <c r="C38" s="27">
        <f>2983+30+28+32+34+28+18+1+24</f>
        <v>3178</v>
      </c>
      <c r="D38" s="27">
        <f>10+1+2+1</f>
        <v>14</v>
      </c>
      <c r="E38" s="28">
        <f t="shared" si="2"/>
        <v>9292</v>
      </c>
      <c r="F38" s="29"/>
      <c r="G38" s="52">
        <v>48</v>
      </c>
    </row>
    <row r="39" spans="1:7">
      <c r="A39" s="51" t="s">
        <v>37</v>
      </c>
      <c r="B39" s="27">
        <f>2244+24+26+26+31+17+12+2+16</f>
        <v>2398</v>
      </c>
      <c r="C39" s="27">
        <f>1026+19+12+17+15+17+5+7</f>
        <v>1118</v>
      </c>
      <c r="D39" s="27">
        <f>4+1</f>
        <v>5</v>
      </c>
      <c r="E39" s="28">
        <f t="shared" si="2"/>
        <v>3521</v>
      </c>
      <c r="F39" s="29"/>
      <c r="G39" s="52">
        <v>23</v>
      </c>
    </row>
    <row r="40" spans="1:7">
      <c r="A40" s="51" t="s">
        <v>38</v>
      </c>
      <c r="B40" s="27">
        <f>687+11+6+8+9+13+7+5</f>
        <v>746</v>
      </c>
      <c r="C40" s="27">
        <f>298+6+6+1+6+8+5+3</f>
        <v>333</v>
      </c>
      <c r="D40" s="27">
        <v>1</v>
      </c>
      <c r="E40" s="28">
        <f t="shared" si="2"/>
        <v>1080</v>
      </c>
      <c r="F40" s="29"/>
      <c r="G40" s="52">
        <v>8</v>
      </c>
    </row>
    <row r="41" spans="1:7" ht="15.75" thickBot="1">
      <c r="A41" s="36" t="s">
        <v>39</v>
      </c>
      <c r="B41" s="11">
        <f>SUM(B32:B40)</f>
        <v>15251</v>
      </c>
      <c r="C41" s="11">
        <f>SUM(C32:C40)</f>
        <v>8927</v>
      </c>
      <c r="D41" s="53">
        <f>SUM(D32:D40)</f>
        <v>38</v>
      </c>
      <c r="E41" s="12">
        <f t="shared" si="2"/>
        <v>24216</v>
      </c>
      <c r="F41" s="13"/>
      <c r="G41" s="54">
        <f>SUM(G32:G40)</f>
        <v>124</v>
      </c>
    </row>
    <row r="42" spans="1:7" ht="15.75" thickTop="1">
      <c r="A42" s="4"/>
      <c r="B42" s="60"/>
      <c r="C42" s="60"/>
      <c r="D42" s="60"/>
      <c r="E42" s="60"/>
      <c r="F42" s="4"/>
    </row>
    <row r="43" spans="1:7">
      <c r="A43" s="63" t="s">
        <v>56</v>
      </c>
      <c r="B43" s="63"/>
      <c r="C43" s="63"/>
      <c r="D43" s="63"/>
      <c r="E43" s="63"/>
      <c r="F43" s="63"/>
      <c r="G43" s="55"/>
    </row>
    <row r="44" spans="1:7">
      <c r="A44" s="56" t="s">
        <v>41</v>
      </c>
      <c r="G44" s="55"/>
    </row>
    <row r="45" spans="1:7">
      <c r="A45" s="57" t="s">
        <v>42</v>
      </c>
      <c r="B45" s="58"/>
      <c r="G45" s="55"/>
    </row>
    <row r="46" spans="1:7">
      <c r="A46" s="57" t="s">
        <v>43</v>
      </c>
      <c r="B46" s="58"/>
      <c r="G46" s="55"/>
    </row>
    <row r="47" spans="1:7">
      <c r="A47" s="57" t="s">
        <v>44</v>
      </c>
      <c r="B47" s="58"/>
      <c r="G47" s="55"/>
    </row>
    <row r="48" spans="1:7">
      <c r="A48" s="57" t="s">
        <v>45</v>
      </c>
      <c r="B48" s="58"/>
      <c r="G48" s="55"/>
    </row>
    <row r="49" spans="1:7">
      <c r="A49" s="57" t="s">
        <v>46</v>
      </c>
      <c r="B49" s="58"/>
      <c r="G49" s="55"/>
    </row>
    <row r="50" spans="1:7">
      <c r="G50" s="55"/>
    </row>
  </sheetData>
  <mergeCells count="6">
    <mergeCell ref="A43:F43"/>
    <mergeCell ref="A3:G3"/>
    <mergeCell ref="A4:G4"/>
    <mergeCell ref="A6:G6"/>
    <mergeCell ref="A7:G7"/>
    <mergeCell ref="A9:A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0"/>
  <sheetViews>
    <sheetView topLeftCell="A30" workbookViewId="0">
      <selection activeCell="A43" sqref="A43:F43"/>
    </sheetView>
  </sheetViews>
  <sheetFormatPr defaultRowHeight="15"/>
  <cols>
    <col min="1" max="1" width="45.42578125" bestFit="1" customWidth="1"/>
    <col min="2" max="2" width="10.5703125" bestFit="1" customWidth="1"/>
    <col min="3" max="3" width="10.42578125" bestFit="1" customWidth="1"/>
    <col min="4" max="4" width="9.28515625" bestFit="1" customWidth="1"/>
    <col min="5" max="5" width="11.5703125" bestFit="1" customWidth="1"/>
    <col min="7" max="7" width="9.28515625" bestFit="1" customWidth="1"/>
  </cols>
  <sheetData>
    <row r="2" spans="1:7">
      <c r="A2" s="1"/>
      <c r="B2" s="2"/>
      <c r="C2" s="2"/>
      <c r="D2" s="2"/>
      <c r="E2" s="2"/>
      <c r="F2" s="1"/>
      <c r="G2" s="2"/>
    </row>
    <row r="3" spans="1:7" ht="15.75">
      <c r="A3" s="64" t="s">
        <v>0</v>
      </c>
      <c r="B3" s="64"/>
      <c r="C3" s="64"/>
      <c r="D3" s="64"/>
      <c r="E3" s="64"/>
      <c r="F3" s="64"/>
      <c r="G3" s="64"/>
    </row>
    <row r="4" spans="1:7" ht="15.75">
      <c r="A4" s="64" t="s">
        <v>1</v>
      </c>
      <c r="B4" s="64"/>
      <c r="C4" s="64"/>
      <c r="D4" s="64"/>
      <c r="E4" s="64"/>
      <c r="F4" s="64"/>
      <c r="G4" s="64"/>
    </row>
    <row r="5" spans="1:7">
      <c r="A5" s="3"/>
      <c r="B5" s="3"/>
      <c r="C5" s="3"/>
      <c r="D5" s="3"/>
      <c r="E5" s="3"/>
      <c r="F5" s="3"/>
      <c r="G5" s="3"/>
    </row>
    <row r="6" spans="1:7">
      <c r="A6" s="65" t="s">
        <v>2</v>
      </c>
      <c r="B6" s="65"/>
      <c r="C6" s="65"/>
      <c r="D6" s="65"/>
      <c r="E6" s="65"/>
      <c r="F6" s="65"/>
      <c r="G6" s="65"/>
    </row>
    <row r="7" spans="1:7">
      <c r="A7" s="66" t="s">
        <v>49</v>
      </c>
      <c r="B7" s="66"/>
      <c r="C7" s="66"/>
      <c r="D7" s="66"/>
      <c r="E7" s="66"/>
      <c r="F7" s="66"/>
      <c r="G7" s="66"/>
    </row>
    <row r="8" spans="1:7" ht="15.75" thickBot="1">
      <c r="A8" s="4"/>
      <c r="B8" s="59"/>
      <c r="C8" s="59"/>
      <c r="D8" s="6"/>
      <c r="E8" s="59"/>
      <c r="F8" s="4"/>
    </row>
    <row r="9" spans="1:7" ht="45.75" thickTop="1">
      <c r="A9" s="67" t="s">
        <v>4</v>
      </c>
      <c r="B9" s="7" t="s">
        <v>5</v>
      </c>
      <c r="C9" s="7" t="s">
        <v>6</v>
      </c>
      <c r="D9" s="8" t="s">
        <v>7</v>
      </c>
      <c r="E9" s="9" t="s">
        <v>8</v>
      </c>
      <c r="F9" s="9"/>
      <c r="G9" s="10" t="s">
        <v>9</v>
      </c>
    </row>
    <row r="10" spans="1:7" ht="15.75" thickBot="1">
      <c r="A10" s="68"/>
      <c r="B10" s="11">
        <f>'Magh 2070'!B10+54</f>
        <v>15305</v>
      </c>
      <c r="C10" s="11">
        <f>'Magh 2070'!C10+51</f>
        <v>8978</v>
      </c>
      <c r="D10" s="11">
        <f>'Magh 2070'!D10</f>
        <v>38</v>
      </c>
      <c r="E10" s="12">
        <f>B10+C10+D10</f>
        <v>24321</v>
      </c>
      <c r="F10" s="13"/>
      <c r="G10" s="14">
        <v>105</v>
      </c>
    </row>
    <row r="11" spans="1:7" ht="15.75" thickTop="1">
      <c r="A11" s="15"/>
      <c r="B11" s="16"/>
      <c r="C11" s="16"/>
      <c r="D11" s="16"/>
      <c r="E11" s="16"/>
      <c r="F11" s="17"/>
      <c r="G11" s="18"/>
    </row>
    <row r="12" spans="1:7" ht="15.75" thickBot="1">
      <c r="A12" s="19" t="s">
        <v>10</v>
      </c>
      <c r="B12" s="20"/>
      <c r="C12" s="20"/>
      <c r="D12" s="20"/>
      <c r="E12" s="20"/>
      <c r="F12" s="4"/>
    </row>
    <row r="13" spans="1:7" ht="45.75" thickTop="1">
      <c r="A13" s="21" t="s">
        <v>11</v>
      </c>
      <c r="B13" s="22" t="s">
        <v>5</v>
      </c>
      <c r="C13" s="22" t="s">
        <v>6</v>
      </c>
      <c r="D13" s="22" t="s">
        <v>7</v>
      </c>
      <c r="E13" s="23" t="s">
        <v>8</v>
      </c>
      <c r="F13" s="24"/>
      <c r="G13" s="10" t="s">
        <v>9</v>
      </c>
    </row>
    <row r="14" spans="1:7">
      <c r="A14" s="26" t="s">
        <v>12</v>
      </c>
      <c r="B14" s="27">
        <f>'Magh 2070'!B14</f>
        <v>79</v>
      </c>
      <c r="C14" s="27">
        <f>'Magh 2070'!C14+6</f>
        <v>1134</v>
      </c>
      <c r="D14" s="27">
        <f>'Magh 2070'!D14</f>
        <v>0</v>
      </c>
      <c r="E14" s="61">
        <v>1213</v>
      </c>
      <c r="F14" s="27"/>
      <c r="G14" s="30">
        <v>6</v>
      </c>
    </row>
    <row r="15" spans="1:7">
      <c r="A15" s="26" t="s">
        <v>13</v>
      </c>
      <c r="B15" s="27">
        <f>'Magh 2070'!B15</f>
        <v>2888</v>
      </c>
      <c r="C15" s="27">
        <f>'Magh 2070'!C15</f>
        <v>73</v>
      </c>
      <c r="D15" s="27">
        <f>'Magh 2070'!D15</f>
        <v>8</v>
      </c>
      <c r="E15" s="61">
        <v>2969</v>
      </c>
      <c r="F15" s="27" t="s">
        <v>14</v>
      </c>
      <c r="G15" s="30">
        <v>0</v>
      </c>
    </row>
    <row r="16" spans="1:7">
      <c r="A16" s="26" t="s">
        <v>15</v>
      </c>
      <c r="B16" s="27">
        <f>'Magh 2070'!B16+3</f>
        <v>309</v>
      </c>
      <c r="C16" s="27">
        <f>'Magh 2070'!C16+2</f>
        <v>3</v>
      </c>
      <c r="D16" s="27">
        <f>'Magh 2070'!D16</f>
        <v>26</v>
      </c>
      <c r="E16" s="61">
        <v>338</v>
      </c>
      <c r="F16" s="27"/>
      <c r="G16" s="30">
        <v>5</v>
      </c>
    </row>
    <row r="17" spans="1:7">
      <c r="A17" s="31" t="s">
        <v>16</v>
      </c>
      <c r="B17" s="27">
        <f>'Magh 2070'!B17</f>
        <v>67</v>
      </c>
      <c r="C17" s="27">
        <f>'Magh 2070'!C17</f>
        <v>30</v>
      </c>
      <c r="D17" s="27">
        <f>'Magh 2070'!D17</f>
        <v>0</v>
      </c>
      <c r="E17" s="61">
        <v>97</v>
      </c>
      <c r="F17" s="27"/>
      <c r="G17" s="30">
        <v>0</v>
      </c>
    </row>
    <row r="18" spans="1:7">
      <c r="A18" s="26" t="s">
        <v>17</v>
      </c>
      <c r="B18" s="27">
        <f>'Magh 2070'!B18+12</f>
        <v>9193</v>
      </c>
      <c r="C18" s="27">
        <f>'Magh 2070'!C18</f>
        <v>148</v>
      </c>
      <c r="D18" s="27">
        <f>'Magh 2070'!D18</f>
        <v>1</v>
      </c>
      <c r="E18" s="61">
        <v>9342</v>
      </c>
      <c r="F18" s="27"/>
      <c r="G18" s="30">
        <v>12</v>
      </c>
    </row>
    <row r="19" spans="1:7">
      <c r="A19" s="26" t="s">
        <v>18</v>
      </c>
      <c r="B19" s="27">
        <f>'Magh 2070'!B19</f>
        <v>0</v>
      </c>
      <c r="C19" s="27">
        <f>'Magh 2070'!C19+17</f>
        <v>5885</v>
      </c>
      <c r="D19" s="27">
        <f>'Magh 2070'!D19</f>
        <v>1</v>
      </c>
      <c r="E19" s="61">
        <v>5886</v>
      </c>
      <c r="F19" s="27"/>
      <c r="G19" s="30">
        <v>17</v>
      </c>
    </row>
    <row r="20" spans="1:7">
      <c r="A20" s="26" t="s">
        <v>19</v>
      </c>
      <c r="B20" s="27">
        <f>'Magh 2070'!B20+1</f>
        <v>139</v>
      </c>
      <c r="C20" s="27">
        <f>'Magh 2070'!C20</f>
        <v>0</v>
      </c>
      <c r="D20" s="27">
        <f>'Magh 2070'!D20</f>
        <v>0</v>
      </c>
      <c r="E20" s="61">
        <v>139</v>
      </c>
      <c r="F20" s="27" t="s">
        <v>20</v>
      </c>
      <c r="G20" s="30">
        <v>1</v>
      </c>
    </row>
    <row r="21" spans="1:7">
      <c r="A21" s="26" t="s">
        <v>21</v>
      </c>
      <c r="B21" s="27">
        <f>'Magh 2070'!B21+23</f>
        <v>1268</v>
      </c>
      <c r="C21" s="27">
        <f>'Magh 2070'!C21+4</f>
        <v>58</v>
      </c>
      <c r="D21" s="27">
        <f>'Magh 2070'!D21</f>
        <v>0</v>
      </c>
      <c r="E21" s="61">
        <v>1326</v>
      </c>
      <c r="F21" s="27"/>
      <c r="G21" s="30">
        <v>27</v>
      </c>
    </row>
    <row r="22" spans="1:7">
      <c r="A22" s="26" t="s">
        <v>22</v>
      </c>
      <c r="B22" s="27">
        <f>'Magh 2070'!B22+1</f>
        <v>39</v>
      </c>
      <c r="C22" s="27">
        <f>'Magh 2070'!C22+10</f>
        <v>784</v>
      </c>
      <c r="D22" s="27">
        <f>'Magh 2070'!D22</f>
        <v>0</v>
      </c>
      <c r="E22" s="61">
        <v>823</v>
      </c>
      <c r="F22" s="27"/>
      <c r="G22" s="30">
        <v>11</v>
      </c>
    </row>
    <row r="23" spans="1:7">
      <c r="A23" s="26" t="s">
        <v>23</v>
      </c>
      <c r="B23" s="27">
        <f>'Magh 2070'!B23</f>
        <v>0</v>
      </c>
      <c r="C23" s="27">
        <f>'Magh 2070'!C23</f>
        <v>0</v>
      </c>
      <c r="D23" s="27">
        <f>'Magh 2070'!D23</f>
        <v>0</v>
      </c>
      <c r="E23" s="61">
        <v>0</v>
      </c>
      <c r="F23" s="27"/>
      <c r="G23" s="30">
        <v>0</v>
      </c>
    </row>
    <row r="24" spans="1:7">
      <c r="A24" s="33" t="s">
        <v>24</v>
      </c>
      <c r="B24" s="27">
        <f>'Magh 2070'!B24+2</f>
        <v>1046</v>
      </c>
      <c r="C24" s="27">
        <f>'Magh 2070'!C24+7</f>
        <v>699</v>
      </c>
      <c r="D24" s="27">
        <f>'Magh 2070'!D24</f>
        <v>0</v>
      </c>
      <c r="E24" s="61">
        <v>1745</v>
      </c>
      <c r="F24" s="27"/>
      <c r="G24" s="30">
        <v>9</v>
      </c>
    </row>
    <row r="25" spans="1:7">
      <c r="A25" s="35" t="s">
        <v>25</v>
      </c>
      <c r="B25" s="27">
        <f>'Magh 2070'!B25+12</f>
        <v>277</v>
      </c>
      <c r="C25" s="27">
        <f>'Magh 2070'!C25+5</f>
        <v>164</v>
      </c>
      <c r="D25" s="27">
        <f>'Magh 2070'!D25</f>
        <v>2</v>
      </c>
      <c r="E25" s="61">
        <v>443</v>
      </c>
      <c r="F25" s="27"/>
      <c r="G25" s="30">
        <v>17</v>
      </c>
    </row>
    <row r="26" spans="1:7" ht="15.75" thickBot="1">
      <c r="A26" s="36" t="s">
        <v>8</v>
      </c>
      <c r="B26" s="37">
        <f>SUM(B14:B25)</f>
        <v>15305</v>
      </c>
      <c r="C26" s="37">
        <f t="shared" ref="C26:D26" si="0">SUM(C14:C25)</f>
        <v>8978</v>
      </c>
      <c r="D26" s="37">
        <f t="shared" si="0"/>
        <v>38</v>
      </c>
      <c r="E26" s="62">
        <v>24321</v>
      </c>
      <c r="F26" s="37"/>
      <c r="G26" s="38">
        <f>SUM(G14:G25)</f>
        <v>105</v>
      </c>
    </row>
    <row r="27" spans="1:7" ht="15.75" thickTop="1">
      <c r="A27" s="39" t="s">
        <v>26</v>
      </c>
      <c r="B27" s="40"/>
      <c r="C27" s="41"/>
      <c r="D27" s="41"/>
      <c r="E27" s="41"/>
      <c r="F27" s="42"/>
      <c r="G27" s="43"/>
    </row>
    <row r="28" spans="1:7">
      <c r="A28" s="44" t="s">
        <v>27</v>
      </c>
      <c r="B28" s="45"/>
      <c r="C28" s="45"/>
      <c r="D28" s="45"/>
      <c r="E28" s="45"/>
      <c r="F28" s="46"/>
      <c r="G28" s="47"/>
    </row>
    <row r="29" spans="1:7">
      <c r="A29" s="44"/>
      <c r="B29" s="45"/>
      <c r="C29" s="45"/>
      <c r="D29" s="45"/>
      <c r="E29" s="45"/>
      <c r="F29" s="46"/>
      <c r="G29" s="47"/>
    </row>
    <row r="30" spans="1:7" ht="15.75" thickBot="1">
      <c r="A30" s="19" t="s">
        <v>28</v>
      </c>
      <c r="B30" s="20"/>
      <c r="C30" s="20"/>
      <c r="D30" s="20"/>
      <c r="E30" s="20"/>
      <c r="F30" s="4"/>
    </row>
    <row r="31" spans="1:7" ht="45.75" thickTop="1">
      <c r="A31" s="48" t="s">
        <v>29</v>
      </c>
      <c r="B31" s="22" t="s">
        <v>5</v>
      </c>
      <c r="C31" s="22" t="s">
        <v>6</v>
      </c>
      <c r="D31" s="49" t="s">
        <v>7</v>
      </c>
      <c r="E31" s="49" t="s">
        <v>8</v>
      </c>
      <c r="F31" s="24"/>
      <c r="G31" s="10" t="s">
        <v>9</v>
      </c>
    </row>
    <row r="32" spans="1:7">
      <c r="A32" s="51" t="s">
        <v>30</v>
      </c>
      <c r="B32" s="27">
        <f>'Magh 2070'!B32</f>
        <v>391</v>
      </c>
      <c r="C32" s="27">
        <f>'Magh 2070'!C32+3</f>
        <v>234</v>
      </c>
      <c r="D32" s="27">
        <f>'Magh 2070'!D32</f>
        <v>0</v>
      </c>
      <c r="E32" s="69">
        <f>'Magh 2070'!E32</f>
        <v>622</v>
      </c>
      <c r="F32" s="70"/>
      <c r="G32" s="52">
        <v>3</v>
      </c>
    </row>
    <row r="33" spans="1:7">
      <c r="A33" s="51" t="s">
        <v>31</v>
      </c>
      <c r="B33" s="27">
        <f>'Magh 2070'!B33+1</f>
        <v>445</v>
      </c>
      <c r="C33" s="27">
        <f>'Magh 2070'!C33+3</f>
        <v>312</v>
      </c>
      <c r="D33" s="27">
        <f>'Magh 2070'!D33</f>
        <v>0</v>
      </c>
      <c r="E33" s="69">
        <f>'Magh 2070'!E33</f>
        <v>753</v>
      </c>
      <c r="F33" s="70"/>
      <c r="G33" s="52">
        <v>4</v>
      </c>
    </row>
    <row r="34" spans="1:7">
      <c r="A34" s="51" t="s">
        <v>32</v>
      </c>
      <c r="B34" s="27">
        <f>'Magh 2070'!B34+3</f>
        <v>209</v>
      </c>
      <c r="C34" s="27">
        <f>'Magh 2070'!C34+2</f>
        <v>148</v>
      </c>
      <c r="D34" s="27">
        <f>'Magh 2070'!D34</f>
        <v>0</v>
      </c>
      <c r="E34" s="69">
        <f>'Magh 2070'!E34</f>
        <v>352</v>
      </c>
      <c r="F34" s="70"/>
      <c r="G34" s="52">
        <v>5</v>
      </c>
    </row>
    <row r="35" spans="1:7">
      <c r="A35" s="51" t="s">
        <v>33</v>
      </c>
      <c r="B35" s="27">
        <f>'Magh 2070'!B35</f>
        <v>337</v>
      </c>
      <c r="C35" s="27">
        <f>'Magh 2070'!C35</f>
        <v>383</v>
      </c>
      <c r="D35" s="27">
        <f>'Magh 2070'!D35</f>
        <v>3</v>
      </c>
      <c r="E35" s="69">
        <f>'Magh 2070'!E35</f>
        <v>723</v>
      </c>
      <c r="F35" s="70"/>
      <c r="G35" s="52">
        <v>0</v>
      </c>
    </row>
    <row r="36" spans="1:7">
      <c r="A36" s="51" t="s">
        <v>34</v>
      </c>
      <c r="B36" s="27">
        <f>'Magh 2070'!B36+2</f>
        <v>1619</v>
      </c>
      <c r="C36" s="27">
        <f>'Magh 2070'!C36+6</f>
        <v>1283</v>
      </c>
      <c r="D36" s="27">
        <f>'Magh 2070'!D36</f>
        <v>8</v>
      </c>
      <c r="E36" s="69">
        <f>'Magh 2070'!E36</f>
        <v>2902</v>
      </c>
      <c r="F36" s="70"/>
      <c r="G36" s="52">
        <v>8</v>
      </c>
    </row>
    <row r="37" spans="1:7">
      <c r="A37" s="51" t="s">
        <v>35</v>
      </c>
      <c r="B37" s="27">
        <f>'Magh 2070'!B37+12</f>
        <v>3024</v>
      </c>
      <c r="C37" s="27">
        <f>'Magh 2070'!C37+10</f>
        <v>1962</v>
      </c>
      <c r="D37" s="27">
        <f>'Magh 2070'!D37</f>
        <v>7</v>
      </c>
      <c r="E37" s="69">
        <f>'Magh 2070'!E37</f>
        <v>4971</v>
      </c>
      <c r="F37" s="70"/>
      <c r="G37" s="52">
        <v>22</v>
      </c>
    </row>
    <row r="38" spans="1:7">
      <c r="A38" s="51" t="s">
        <v>36</v>
      </c>
      <c r="B38" s="27">
        <f>'Magh 2070'!B38+15</f>
        <v>6115</v>
      </c>
      <c r="C38" s="27">
        <f>'Magh 2070'!C38+16</f>
        <v>3194</v>
      </c>
      <c r="D38" s="27">
        <f>'Magh 2070'!D38</f>
        <v>14</v>
      </c>
      <c r="E38" s="69">
        <f>'Magh 2070'!E38</f>
        <v>9292</v>
      </c>
      <c r="F38" s="70"/>
      <c r="G38" s="52">
        <v>31</v>
      </c>
    </row>
    <row r="39" spans="1:7">
      <c r="A39" s="51" t="s">
        <v>37</v>
      </c>
      <c r="B39" s="27">
        <f>'Magh 2070'!B39+15</f>
        <v>2413</v>
      </c>
      <c r="C39" s="27">
        <f>'Magh 2070'!C39+9</f>
        <v>1127</v>
      </c>
      <c r="D39" s="27">
        <f>'Magh 2070'!D39</f>
        <v>5</v>
      </c>
      <c r="E39" s="69">
        <f>'Magh 2070'!E39</f>
        <v>3521</v>
      </c>
      <c r="F39" s="70"/>
      <c r="G39" s="52">
        <v>24</v>
      </c>
    </row>
    <row r="40" spans="1:7">
      <c r="A40" s="51" t="s">
        <v>38</v>
      </c>
      <c r="B40" s="27">
        <f>'Magh 2070'!B40+6</f>
        <v>752</v>
      </c>
      <c r="C40" s="27">
        <f>'Magh 2070'!C40+2</f>
        <v>335</v>
      </c>
      <c r="D40" s="27">
        <f>'Magh 2070'!D40</f>
        <v>1</v>
      </c>
      <c r="E40" s="69">
        <f>'Magh 2070'!E40</f>
        <v>1080</v>
      </c>
      <c r="F40" s="70"/>
      <c r="G40" s="52">
        <v>8</v>
      </c>
    </row>
    <row r="41" spans="1:7" ht="15.75" thickBot="1">
      <c r="A41" s="36" t="s">
        <v>39</v>
      </c>
      <c r="B41" s="11">
        <f>SUM(B32:B40)</f>
        <v>15305</v>
      </c>
      <c r="C41" s="11">
        <f>SUM(C32:C40)</f>
        <v>8978</v>
      </c>
      <c r="D41" s="53">
        <f>SUM(D32:D40)</f>
        <v>38</v>
      </c>
      <c r="E41" s="69">
        <f t="shared" ref="E41" si="1">B41+C41+D41</f>
        <v>24321</v>
      </c>
      <c r="F41" s="70"/>
      <c r="G41" s="54">
        <f>SUM(G32:G40)</f>
        <v>105</v>
      </c>
    </row>
    <row r="42" spans="1:7" ht="15.75" thickTop="1">
      <c r="A42" s="4"/>
      <c r="B42" s="59"/>
      <c r="C42" s="59"/>
      <c r="D42" s="59"/>
      <c r="E42" s="59"/>
      <c r="F42" s="4"/>
    </row>
    <row r="43" spans="1:7">
      <c r="A43" s="63" t="s">
        <v>57</v>
      </c>
      <c r="B43" s="63"/>
      <c r="C43" s="63"/>
      <c r="D43" s="63"/>
      <c r="E43" s="63"/>
      <c r="F43" s="63"/>
      <c r="G43" s="55"/>
    </row>
    <row r="44" spans="1:7">
      <c r="A44" s="56" t="s">
        <v>41</v>
      </c>
      <c r="G44" s="55"/>
    </row>
    <row r="45" spans="1:7">
      <c r="A45" s="57" t="s">
        <v>42</v>
      </c>
      <c r="B45" s="58"/>
      <c r="G45" s="55"/>
    </row>
    <row r="46" spans="1:7">
      <c r="A46" s="57" t="s">
        <v>43</v>
      </c>
      <c r="B46" s="58"/>
      <c r="G46" s="55"/>
    </row>
    <row r="47" spans="1:7">
      <c r="A47" s="57" t="s">
        <v>44</v>
      </c>
      <c r="B47" s="58"/>
      <c r="G47" s="55"/>
    </row>
    <row r="48" spans="1:7">
      <c r="A48" s="57" t="s">
        <v>45</v>
      </c>
      <c r="B48" s="58"/>
      <c r="G48" s="55"/>
    </row>
    <row r="49" spans="1:7">
      <c r="A49" s="57" t="s">
        <v>46</v>
      </c>
      <c r="B49" s="58"/>
      <c r="G49" s="55"/>
    </row>
    <row r="50" spans="1:7">
      <c r="G50" s="55"/>
    </row>
  </sheetData>
  <mergeCells count="16">
    <mergeCell ref="A43:F43"/>
    <mergeCell ref="E32:F32"/>
    <mergeCell ref="E33:F33"/>
    <mergeCell ref="A3:G3"/>
    <mergeCell ref="A4:G4"/>
    <mergeCell ref="A6:G6"/>
    <mergeCell ref="A7:G7"/>
    <mergeCell ref="A9:A10"/>
    <mergeCell ref="E39:F39"/>
    <mergeCell ref="E40:F40"/>
    <mergeCell ref="E41:F41"/>
    <mergeCell ref="E34:F34"/>
    <mergeCell ref="E35:F35"/>
    <mergeCell ref="E36:F36"/>
    <mergeCell ref="E37:F37"/>
    <mergeCell ref="E38:F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0"/>
  <sheetViews>
    <sheetView topLeftCell="A36" workbookViewId="0">
      <selection activeCell="A43" sqref="A43:F43"/>
    </sheetView>
  </sheetViews>
  <sheetFormatPr defaultRowHeight="15"/>
  <cols>
    <col min="1" max="1" width="45.42578125" bestFit="1" customWidth="1"/>
    <col min="2" max="2" width="10.5703125" bestFit="1" customWidth="1"/>
    <col min="3" max="3" width="10.42578125" bestFit="1" customWidth="1"/>
    <col min="4" max="4" width="9.28515625" bestFit="1" customWidth="1"/>
    <col min="5" max="5" width="11.5703125" bestFit="1" customWidth="1"/>
    <col min="7" max="7" width="9.28515625" bestFit="1" customWidth="1"/>
  </cols>
  <sheetData>
    <row r="2" spans="1:7">
      <c r="A2" s="1"/>
      <c r="B2" s="2"/>
      <c r="C2" s="2"/>
      <c r="D2" s="2"/>
      <c r="E2" s="2"/>
      <c r="F2" s="1"/>
      <c r="G2" s="2"/>
    </row>
    <row r="3" spans="1:7" ht="15.75">
      <c r="A3" s="64" t="s">
        <v>0</v>
      </c>
      <c r="B3" s="64"/>
      <c r="C3" s="64"/>
      <c r="D3" s="64"/>
      <c r="E3" s="64"/>
      <c r="F3" s="64"/>
      <c r="G3" s="64"/>
    </row>
    <row r="4" spans="1:7" ht="15.75">
      <c r="A4" s="64" t="s">
        <v>1</v>
      </c>
      <c r="B4" s="64"/>
      <c r="C4" s="64"/>
      <c r="D4" s="64"/>
      <c r="E4" s="64"/>
      <c r="F4" s="64"/>
      <c r="G4" s="64"/>
    </row>
    <row r="5" spans="1:7">
      <c r="A5" s="3"/>
      <c r="B5" s="3"/>
      <c r="C5" s="3"/>
      <c r="D5" s="3"/>
      <c r="E5" s="3"/>
      <c r="F5" s="3"/>
      <c r="G5" s="3"/>
    </row>
    <row r="6" spans="1:7">
      <c r="A6" s="65" t="s">
        <v>2</v>
      </c>
      <c r="B6" s="65"/>
      <c r="C6" s="65"/>
      <c r="D6" s="65"/>
      <c r="E6" s="65"/>
      <c r="F6" s="65"/>
      <c r="G6" s="65"/>
    </row>
    <row r="7" spans="1:7">
      <c r="A7" s="66" t="s">
        <v>50</v>
      </c>
      <c r="B7" s="66"/>
      <c r="C7" s="66"/>
      <c r="D7" s="66"/>
      <c r="E7" s="66"/>
      <c r="F7" s="66"/>
      <c r="G7" s="66"/>
    </row>
    <row r="8" spans="1:7" ht="15.75" thickBot="1">
      <c r="A8" s="4"/>
      <c r="B8" s="59"/>
      <c r="C8" s="59"/>
      <c r="D8" s="6"/>
      <c r="E8" s="59"/>
      <c r="F8" s="4"/>
    </row>
    <row r="9" spans="1:7" ht="45.75" thickTop="1">
      <c r="A9" s="67" t="s">
        <v>4</v>
      </c>
      <c r="B9" s="7" t="s">
        <v>5</v>
      </c>
      <c r="C9" s="7" t="s">
        <v>6</v>
      </c>
      <c r="D9" s="8" t="s">
        <v>7</v>
      </c>
      <c r="E9" s="9" t="s">
        <v>8</v>
      </c>
      <c r="F9" s="9"/>
      <c r="G9" s="10" t="s">
        <v>9</v>
      </c>
    </row>
    <row r="10" spans="1:7" ht="15.75" thickBot="1">
      <c r="A10" s="68"/>
      <c r="B10" s="11">
        <f>'Falgun 2070'!B10+147</f>
        <v>15452</v>
      </c>
      <c r="C10" s="11">
        <f>'Falgun 2070'!C10+108</f>
        <v>9086</v>
      </c>
      <c r="D10" s="11">
        <f>'Falgun 2070'!D10</f>
        <v>38</v>
      </c>
      <c r="E10" s="12">
        <f>B10+C10+D10</f>
        <v>24576</v>
      </c>
      <c r="F10" s="13"/>
      <c r="G10" s="14">
        <v>255</v>
      </c>
    </row>
    <row r="11" spans="1:7" ht="15.75" thickTop="1">
      <c r="A11" s="15"/>
      <c r="B11" s="16"/>
      <c r="C11" s="16"/>
      <c r="D11" s="16"/>
      <c r="E11" s="16"/>
      <c r="F11" s="17"/>
      <c r="G11" s="18"/>
    </row>
    <row r="12" spans="1:7" ht="15.75" thickBot="1">
      <c r="A12" s="19" t="s">
        <v>10</v>
      </c>
      <c r="B12" s="20"/>
      <c r="C12" s="20"/>
      <c r="D12" s="20"/>
      <c r="E12" s="20"/>
      <c r="F12" s="4"/>
    </row>
    <row r="13" spans="1:7" ht="45.75" thickTop="1">
      <c r="A13" s="21" t="s">
        <v>11</v>
      </c>
      <c r="B13" s="22" t="s">
        <v>5</v>
      </c>
      <c r="C13" s="22" t="s">
        <v>6</v>
      </c>
      <c r="D13" s="22" t="s">
        <v>7</v>
      </c>
      <c r="E13" s="23" t="s">
        <v>8</v>
      </c>
      <c r="F13" s="24"/>
      <c r="G13" s="10" t="s">
        <v>9</v>
      </c>
    </row>
    <row r="14" spans="1:7">
      <c r="A14" s="26" t="s">
        <v>12</v>
      </c>
      <c r="B14" s="27">
        <f>'Falgun 2070'!B14</f>
        <v>79</v>
      </c>
      <c r="C14" s="27">
        <f>'Falgun 2070'!C14+10</f>
        <v>1144</v>
      </c>
      <c r="D14" s="27">
        <f>'Falgun 2070'!D14</f>
        <v>0</v>
      </c>
      <c r="E14" s="28">
        <f>B14+C14+D14</f>
        <v>1223</v>
      </c>
      <c r="F14" s="29"/>
      <c r="G14" s="30">
        <v>10</v>
      </c>
    </row>
    <row r="15" spans="1:7">
      <c r="A15" s="26" t="s">
        <v>13</v>
      </c>
      <c r="B15" s="27">
        <f>'Falgun 2070'!B15+12</f>
        <v>2900</v>
      </c>
      <c r="C15" s="27">
        <f>'Falgun 2070'!C15+2</f>
        <v>75</v>
      </c>
      <c r="D15" s="27">
        <f>'Falgun 2070'!D15</f>
        <v>8</v>
      </c>
      <c r="E15" s="28">
        <f t="shared" ref="E15:E25" si="0">B15+C15+D15</f>
        <v>2983</v>
      </c>
      <c r="F15" s="29" t="s">
        <v>14</v>
      </c>
      <c r="G15" s="30">
        <v>14</v>
      </c>
    </row>
    <row r="16" spans="1:7">
      <c r="A16" s="26" t="s">
        <v>15</v>
      </c>
      <c r="B16" s="27">
        <f>'Falgun 2070'!B16+7</f>
        <v>316</v>
      </c>
      <c r="C16" s="27">
        <f>'Falgun 2070'!C16</f>
        <v>3</v>
      </c>
      <c r="D16" s="27">
        <f>'Falgun 2070'!D16</f>
        <v>26</v>
      </c>
      <c r="E16" s="28">
        <f t="shared" si="0"/>
        <v>345</v>
      </c>
      <c r="F16" s="29"/>
      <c r="G16" s="30">
        <v>7</v>
      </c>
    </row>
    <row r="17" spans="1:7">
      <c r="A17" s="31" t="s">
        <v>16</v>
      </c>
      <c r="B17" s="27">
        <f>'Falgun 2070'!B17+4</f>
        <v>71</v>
      </c>
      <c r="C17" s="27">
        <f>'Falgun 2070'!C17+1</f>
        <v>31</v>
      </c>
      <c r="D17" s="27">
        <f>'Falgun 2070'!D17</f>
        <v>0</v>
      </c>
      <c r="E17" s="28">
        <f t="shared" si="0"/>
        <v>102</v>
      </c>
      <c r="F17" s="29"/>
      <c r="G17" s="30">
        <v>5</v>
      </c>
    </row>
    <row r="18" spans="1:7">
      <c r="A18" s="26" t="s">
        <v>17</v>
      </c>
      <c r="B18" s="27">
        <f>'Falgun 2070'!B18+28</f>
        <v>9221</v>
      </c>
      <c r="C18" s="27">
        <f>'Falgun 2070'!C18</f>
        <v>148</v>
      </c>
      <c r="D18" s="27">
        <f>'Falgun 2070'!D18</f>
        <v>1</v>
      </c>
      <c r="E18" s="28">
        <f t="shared" si="0"/>
        <v>9370</v>
      </c>
      <c r="F18" s="29"/>
      <c r="G18" s="30">
        <v>28</v>
      </c>
    </row>
    <row r="19" spans="1:7">
      <c r="A19" s="26" t="s">
        <v>18</v>
      </c>
      <c r="B19" s="27">
        <f>'Falgun 2070'!B19</f>
        <v>0</v>
      </c>
      <c r="C19" s="27">
        <f>'Falgun 2070'!C19+31</f>
        <v>5916</v>
      </c>
      <c r="D19" s="27">
        <f>'Falgun 2070'!D19</f>
        <v>1</v>
      </c>
      <c r="E19" s="28">
        <f t="shared" si="0"/>
        <v>5917</v>
      </c>
      <c r="F19" s="29"/>
      <c r="G19" s="30">
        <v>31</v>
      </c>
    </row>
    <row r="20" spans="1:7">
      <c r="A20" s="26" t="s">
        <v>19</v>
      </c>
      <c r="B20" s="27">
        <f>'Falgun 2070'!B20+2</f>
        <v>141</v>
      </c>
      <c r="C20" s="27">
        <f>'Falgun 2070'!C20</f>
        <v>0</v>
      </c>
      <c r="D20" s="27">
        <f>'Falgun 2070'!D20</f>
        <v>0</v>
      </c>
      <c r="E20" s="28">
        <f t="shared" si="0"/>
        <v>141</v>
      </c>
      <c r="F20" s="29" t="s">
        <v>20</v>
      </c>
      <c r="G20" s="30">
        <v>2</v>
      </c>
    </row>
    <row r="21" spans="1:7">
      <c r="A21" s="26" t="s">
        <v>21</v>
      </c>
      <c r="B21" s="27">
        <f>'Falgun 2070'!B21+54</f>
        <v>1322</v>
      </c>
      <c r="C21" s="27">
        <f>'Falgun 2070'!C21+2</f>
        <v>60</v>
      </c>
      <c r="D21" s="27">
        <f>'Falgun 2070'!D21</f>
        <v>0</v>
      </c>
      <c r="E21" s="28">
        <f t="shared" si="0"/>
        <v>1382</v>
      </c>
      <c r="F21" s="29"/>
      <c r="G21" s="30">
        <v>56</v>
      </c>
    </row>
    <row r="22" spans="1:7">
      <c r="A22" s="26" t="s">
        <v>22</v>
      </c>
      <c r="B22" s="27">
        <f>'Falgun 2070'!B22+1</f>
        <v>40</v>
      </c>
      <c r="C22" s="27">
        <f>'Falgun 2070'!C22+40</f>
        <v>824</v>
      </c>
      <c r="D22" s="27">
        <f>'Falgun 2070'!D22</f>
        <v>0</v>
      </c>
      <c r="E22" s="28">
        <f t="shared" si="0"/>
        <v>864</v>
      </c>
      <c r="F22" s="29"/>
      <c r="G22" s="30">
        <v>41</v>
      </c>
    </row>
    <row r="23" spans="1:7">
      <c r="A23" s="26" t="s">
        <v>23</v>
      </c>
      <c r="B23" s="27">
        <f>'Falgun 2070'!B23</f>
        <v>0</v>
      </c>
      <c r="C23" s="27">
        <f>'Falgun 2070'!C23</f>
        <v>0</v>
      </c>
      <c r="D23" s="27">
        <f>'Falgun 2070'!D23</f>
        <v>0</v>
      </c>
      <c r="E23" s="28">
        <f t="shared" si="0"/>
        <v>0</v>
      </c>
      <c r="F23" s="32"/>
      <c r="G23" s="30">
        <v>0</v>
      </c>
    </row>
    <row r="24" spans="1:7">
      <c r="A24" s="33" t="s">
        <v>24</v>
      </c>
      <c r="B24" s="27">
        <f>'Falgun 2070'!B24+27</f>
        <v>1073</v>
      </c>
      <c r="C24" s="27">
        <f>'Falgun 2070'!C24+13</f>
        <v>712</v>
      </c>
      <c r="D24" s="27">
        <f>'Falgun 2070'!D24</f>
        <v>0</v>
      </c>
      <c r="E24" s="28">
        <f t="shared" si="0"/>
        <v>1785</v>
      </c>
      <c r="F24" s="34"/>
      <c r="G24" s="30">
        <v>40</v>
      </c>
    </row>
    <row r="25" spans="1:7">
      <c r="A25" s="35" t="s">
        <v>25</v>
      </c>
      <c r="B25" s="27">
        <f>'Falgun 2070'!B25+12</f>
        <v>289</v>
      </c>
      <c r="C25" s="27">
        <f>'Falgun 2070'!C25+9</f>
        <v>173</v>
      </c>
      <c r="D25" s="27">
        <f>'Falgun 2070'!D25</f>
        <v>2</v>
      </c>
      <c r="E25" s="28">
        <f t="shared" si="0"/>
        <v>464</v>
      </c>
      <c r="F25" s="29"/>
      <c r="G25" s="30">
        <v>21</v>
      </c>
    </row>
    <row r="26" spans="1:7" ht="15.75" thickBot="1">
      <c r="A26" s="36" t="s">
        <v>8</v>
      </c>
      <c r="B26" s="37">
        <f>SUM(B14:B25)</f>
        <v>15452</v>
      </c>
      <c r="C26" s="37">
        <f t="shared" ref="C26:E26" si="1">SUM(C14:C25)</f>
        <v>9086</v>
      </c>
      <c r="D26" s="37">
        <f t="shared" si="1"/>
        <v>38</v>
      </c>
      <c r="E26" s="37">
        <f t="shared" si="1"/>
        <v>24576</v>
      </c>
      <c r="F26" s="13"/>
      <c r="G26" s="38">
        <f>SUM(G14:G25)</f>
        <v>255</v>
      </c>
    </row>
    <row r="27" spans="1:7" ht="15.75" thickTop="1">
      <c r="A27" s="39" t="s">
        <v>26</v>
      </c>
      <c r="B27" s="40"/>
      <c r="C27" s="41"/>
      <c r="D27" s="41"/>
      <c r="E27" s="41"/>
      <c r="F27" s="42"/>
      <c r="G27" s="43"/>
    </row>
    <row r="28" spans="1:7">
      <c r="A28" s="44" t="s">
        <v>27</v>
      </c>
      <c r="B28" s="45"/>
      <c r="C28" s="45"/>
      <c r="D28" s="45"/>
      <c r="E28" s="45"/>
      <c r="F28" s="46"/>
      <c r="G28" s="47"/>
    </row>
    <row r="29" spans="1:7">
      <c r="A29" s="44"/>
      <c r="B29" s="45"/>
      <c r="C29" s="45"/>
      <c r="D29" s="45"/>
      <c r="E29" s="45"/>
      <c r="F29" s="46"/>
      <c r="G29" s="47"/>
    </row>
    <row r="30" spans="1:7" ht="15.75" thickBot="1">
      <c r="A30" s="19" t="s">
        <v>28</v>
      </c>
      <c r="B30" s="20"/>
      <c r="C30" s="20"/>
      <c r="D30" s="20"/>
      <c r="E30" s="20"/>
      <c r="F30" s="4"/>
    </row>
    <row r="31" spans="1:7" ht="45.75" thickTop="1">
      <c r="A31" s="48" t="s">
        <v>29</v>
      </c>
      <c r="B31" s="22" t="s">
        <v>5</v>
      </c>
      <c r="C31" s="22" t="s">
        <v>6</v>
      </c>
      <c r="D31" s="49" t="s">
        <v>7</v>
      </c>
      <c r="E31" s="49" t="s">
        <v>8</v>
      </c>
      <c r="F31" s="24"/>
      <c r="G31" s="10" t="s">
        <v>9</v>
      </c>
    </row>
    <row r="32" spans="1:7">
      <c r="A32" s="51" t="s">
        <v>30</v>
      </c>
      <c r="B32" s="27">
        <f>'Falgun 2070'!B32+6</f>
        <v>397</v>
      </c>
      <c r="C32" s="27">
        <f>'Falgun 2070'!C32+1</f>
        <v>235</v>
      </c>
      <c r="D32" s="27">
        <f>'Falgun 2070'!D32</f>
        <v>0</v>
      </c>
      <c r="E32" s="28">
        <f>B32+C32+D32</f>
        <v>632</v>
      </c>
      <c r="F32" s="29"/>
      <c r="G32" s="52">
        <v>7</v>
      </c>
    </row>
    <row r="33" spans="1:7">
      <c r="A33" s="51" t="s">
        <v>31</v>
      </c>
      <c r="B33" s="27">
        <f>'Falgun 2070'!B33+10</f>
        <v>455</v>
      </c>
      <c r="C33" s="27">
        <f>'Falgun 2070'!C33+9</f>
        <v>321</v>
      </c>
      <c r="D33" s="27">
        <f>'Falgun 2070'!D33</f>
        <v>0</v>
      </c>
      <c r="E33" s="28">
        <f t="shared" ref="E33:E41" si="2">B33+C33+D33</f>
        <v>776</v>
      </c>
      <c r="F33" s="29"/>
      <c r="G33" s="52">
        <v>19</v>
      </c>
    </row>
    <row r="34" spans="1:7">
      <c r="A34" s="51" t="s">
        <v>32</v>
      </c>
      <c r="B34" s="27">
        <f>'Falgun 2070'!B34+14</f>
        <v>223</v>
      </c>
      <c r="C34" s="27">
        <f>'Falgun 2070'!C34+10</f>
        <v>158</v>
      </c>
      <c r="D34" s="27">
        <f>'Falgun 2070'!D34</f>
        <v>0</v>
      </c>
      <c r="E34" s="28">
        <f t="shared" si="2"/>
        <v>381</v>
      </c>
      <c r="F34" s="29"/>
      <c r="G34" s="52">
        <v>24</v>
      </c>
    </row>
    <row r="35" spans="1:7">
      <c r="A35" s="51" t="s">
        <v>33</v>
      </c>
      <c r="B35" s="27">
        <f>'Falgun 2070'!B35+6</f>
        <v>343</v>
      </c>
      <c r="C35" s="27">
        <f>'Falgun 2070'!C35+4</f>
        <v>387</v>
      </c>
      <c r="D35" s="27">
        <f>'Falgun 2070'!D35</f>
        <v>3</v>
      </c>
      <c r="E35" s="28">
        <f t="shared" si="2"/>
        <v>733</v>
      </c>
      <c r="F35" s="29"/>
      <c r="G35" s="52">
        <v>10</v>
      </c>
    </row>
    <row r="36" spans="1:7">
      <c r="A36" s="51" t="s">
        <v>34</v>
      </c>
      <c r="B36" s="27">
        <f>'Falgun 2070'!B36+8</f>
        <v>1627</v>
      </c>
      <c r="C36" s="27">
        <f>'Falgun 2070'!C36+9</f>
        <v>1292</v>
      </c>
      <c r="D36" s="27">
        <f>'Falgun 2070'!D36</f>
        <v>8</v>
      </c>
      <c r="E36" s="28">
        <f t="shared" si="2"/>
        <v>2927</v>
      </c>
      <c r="F36" s="29"/>
      <c r="G36" s="52">
        <v>17</v>
      </c>
    </row>
    <row r="37" spans="1:7">
      <c r="A37" s="51" t="s">
        <v>35</v>
      </c>
      <c r="B37" s="27">
        <f>'Falgun 2070'!B37+15</f>
        <v>3039</v>
      </c>
      <c r="C37" s="27">
        <f>'Falgun 2070'!C37+16</f>
        <v>1978</v>
      </c>
      <c r="D37" s="27">
        <f>'Falgun 2070'!D37</f>
        <v>7</v>
      </c>
      <c r="E37" s="28">
        <f t="shared" si="2"/>
        <v>5024</v>
      </c>
      <c r="F37" s="29"/>
      <c r="G37" s="52">
        <v>31</v>
      </c>
    </row>
    <row r="38" spans="1:7">
      <c r="A38" s="51" t="s">
        <v>36</v>
      </c>
      <c r="B38" s="27">
        <f>'Falgun 2070'!B38+35</f>
        <v>6150</v>
      </c>
      <c r="C38" s="27">
        <f>'Falgun 2070'!C38+40</f>
        <v>3234</v>
      </c>
      <c r="D38" s="27">
        <f>'Falgun 2070'!D38</f>
        <v>14</v>
      </c>
      <c r="E38" s="28">
        <f t="shared" si="2"/>
        <v>9398</v>
      </c>
      <c r="F38" s="29"/>
      <c r="G38" s="52">
        <v>75</v>
      </c>
    </row>
    <row r="39" spans="1:7">
      <c r="A39" s="51" t="s">
        <v>37</v>
      </c>
      <c r="B39" s="27">
        <f>'Falgun 2070'!B39+36</f>
        <v>2449</v>
      </c>
      <c r="C39" s="27">
        <f>'Falgun 2070'!C39+17</f>
        <v>1144</v>
      </c>
      <c r="D39" s="27">
        <f>'Falgun 2070'!D39</f>
        <v>5</v>
      </c>
      <c r="E39" s="28">
        <f t="shared" si="2"/>
        <v>3598</v>
      </c>
      <c r="F39" s="29"/>
      <c r="G39" s="52">
        <v>53</v>
      </c>
    </row>
    <row r="40" spans="1:7">
      <c r="A40" s="51" t="s">
        <v>38</v>
      </c>
      <c r="B40" s="27">
        <f>'Falgun 2070'!B40+17</f>
        <v>769</v>
      </c>
      <c r="C40" s="27">
        <f>'Falgun 2070'!C40+2</f>
        <v>337</v>
      </c>
      <c r="D40" s="27">
        <f>'Falgun 2070'!D40</f>
        <v>1</v>
      </c>
      <c r="E40" s="28">
        <f t="shared" si="2"/>
        <v>1107</v>
      </c>
      <c r="F40" s="29"/>
      <c r="G40" s="52">
        <v>19</v>
      </c>
    </row>
    <row r="41" spans="1:7" ht="15.75" thickBot="1">
      <c r="A41" s="36" t="s">
        <v>39</v>
      </c>
      <c r="B41" s="11">
        <f>SUM(B32:B40)</f>
        <v>15452</v>
      </c>
      <c r="C41" s="11">
        <f>SUM(C32:C40)</f>
        <v>9086</v>
      </c>
      <c r="D41" s="53">
        <f>SUM(D32:D40)</f>
        <v>38</v>
      </c>
      <c r="E41" s="12">
        <f t="shared" si="2"/>
        <v>24576</v>
      </c>
      <c r="F41" s="13"/>
      <c r="G41" s="54">
        <f>SUM(G32:G40)</f>
        <v>255</v>
      </c>
    </row>
    <row r="42" spans="1:7" ht="15.75" thickTop="1">
      <c r="A42" s="4"/>
      <c r="B42" s="59"/>
      <c r="C42" s="59"/>
      <c r="D42" s="59"/>
      <c r="E42" s="59"/>
      <c r="F42" s="4"/>
    </row>
    <row r="43" spans="1:7">
      <c r="A43" s="63" t="s">
        <v>58</v>
      </c>
      <c r="B43" s="63"/>
      <c r="C43" s="63"/>
      <c r="D43" s="63"/>
      <c r="E43" s="63"/>
      <c r="F43" s="63"/>
      <c r="G43" s="55"/>
    </row>
    <row r="44" spans="1:7">
      <c r="A44" s="56" t="s">
        <v>41</v>
      </c>
      <c r="G44" s="55"/>
    </row>
    <row r="45" spans="1:7">
      <c r="A45" s="57" t="s">
        <v>42</v>
      </c>
      <c r="B45" s="58"/>
      <c r="G45" s="55"/>
    </row>
    <row r="46" spans="1:7">
      <c r="A46" s="57" t="s">
        <v>43</v>
      </c>
      <c r="B46" s="58"/>
      <c r="G46" s="55"/>
    </row>
    <row r="47" spans="1:7">
      <c r="A47" s="57" t="s">
        <v>44</v>
      </c>
      <c r="B47" s="58"/>
      <c r="G47" s="55"/>
    </row>
    <row r="48" spans="1:7">
      <c r="A48" s="57" t="s">
        <v>45</v>
      </c>
      <c r="B48" s="58"/>
      <c r="G48" s="55"/>
    </row>
    <row r="49" spans="1:7">
      <c r="A49" s="57" t="s">
        <v>46</v>
      </c>
      <c r="B49" s="58"/>
      <c r="G49" s="55"/>
    </row>
    <row r="50" spans="1:7">
      <c r="G50" s="55"/>
    </row>
  </sheetData>
  <mergeCells count="6">
    <mergeCell ref="A43:F43"/>
    <mergeCell ref="A3:G3"/>
    <mergeCell ref="A4:G4"/>
    <mergeCell ref="A6:G6"/>
    <mergeCell ref="A7:G7"/>
    <mergeCell ref="A9:A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0"/>
  <sheetViews>
    <sheetView topLeftCell="A34" workbookViewId="0">
      <selection activeCell="C49" sqref="C49"/>
    </sheetView>
  </sheetViews>
  <sheetFormatPr defaultRowHeight="15"/>
  <cols>
    <col min="1" max="1" width="45.42578125" bestFit="1" customWidth="1"/>
    <col min="2" max="2" width="10.5703125" bestFit="1" customWidth="1"/>
    <col min="3" max="3" width="10.42578125" bestFit="1" customWidth="1"/>
    <col min="4" max="4" width="9.28515625" bestFit="1" customWidth="1"/>
    <col min="5" max="5" width="11.5703125" bestFit="1" customWidth="1"/>
    <col min="7" max="7" width="9.28515625" bestFit="1" customWidth="1"/>
  </cols>
  <sheetData>
    <row r="2" spans="1:7">
      <c r="A2" s="1"/>
      <c r="B2" s="2"/>
      <c r="C2" s="2"/>
      <c r="D2" s="2"/>
      <c r="E2" s="2"/>
      <c r="F2" s="1"/>
      <c r="G2" s="2"/>
    </row>
    <row r="3" spans="1:7" ht="15.75">
      <c r="A3" s="64" t="s">
        <v>0</v>
      </c>
      <c r="B3" s="64"/>
      <c r="C3" s="64"/>
      <c r="D3" s="64"/>
      <c r="E3" s="64"/>
      <c r="F3" s="64"/>
      <c r="G3" s="64"/>
    </row>
    <row r="4" spans="1:7" ht="15.75">
      <c r="A4" s="64" t="s">
        <v>1</v>
      </c>
      <c r="B4" s="64"/>
      <c r="C4" s="64"/>
      <c r="D4" s="64"/>
      <c r="E4" s="64"/>
      <c r="F4" s="64"/>
      <c r="G4" s="64"/>
    </row>
    <row r="5" spans="1:7">
      <c r="A5" s="3"/>
      <c r="B5" s="3"/>
      <c r="C5" s="3"/>
      <c r="D5" s="3"/>
      <c r="E5" s="3"/>
      <c r="F5" s="3"/>
      <c r="G5" s="3"/>
    </row>
    <row r="6" spans="1:7">
      <c r="A6" s="65" t="s">
        <v>2</v>
      </c>
      <c r="B6" s="65"/>
      <c r="C6" s="65"/>
      <c r="D6" s="65"/>
      <c r="E6" s="65"/>
      <c r="F6" s="65"/>
      <c r="G6" s="65"/>
    </row>
    <row r="7" spans="1:7">
      <c r="A7" s="66" t="s">
        <v>51</v>
      </c>
      <c r="B7" s="66"/>
      <c r="C7" s="66"/>
      <c r="D7" s="66"/>
      <c r="E7" s="66"/>
      <c r="F7" s="66"/>
      <c r="G7" s="66"/>
    </row>
    <row r="8" spans="1:7" ht="15.75" thickBot="1">
      <c r="A8" s="4"/>
      <c r="B8" s="59"/>
      <c r="C8" s="59"/>
      <c r="D8" s="6"/>
      <c r="E8" s="59"/>
      <c r="F8" s="4"/>
    </row>
    <row r="9" spans="1:7" ht="45.75" thickTop="1">
      <c r="A9" s="67" t="s">
        <v>4</v>
      </c>
      <c r="B9" s="7" t="s">
        <v>5</v>
      </c>
      <c r="C9" s="7" t="s">
        <v>6</v>
      </c>
      <c r="D9" s="8" t="s">
        <v>7</v>
      </c>
      <c r="E9" s="9" t="s">
        <v>8</v>
      </c>
      <c r="F9" s="9"/>
      <c r="G9" s="10" t="s">
        <v>9</v>
      </c>
    </row>
    <row r="10" spans="1:7" ht="15.75" thickBot="1">
      <c r="A10" s="68"/>
      <c r="B10" s="11">
        <f>'Chaitra 070'!B10+115</f>
        <v>15567</v>
      </c>
      <c r="C10" s="11">
        <f>'Chaitra 070'!C10+99</f>
        <v>9185</v>
      </c>
      <c r="D10" s="11">
        <f>'Chaitra 070'!D10+1</f>
        <v>39</v>
      </c>
      <c r="E10" s="12">
        <f>B10+C10+D10</f>
        <v>24791</v>
      </c>
      <c r="F10" s="13"/>
      <c r="G10" s="14">
        <v>215</v>
      </c>
    </row>
    <row r="11" spans="1:7" ht="15.75" thickTop="1">
      <c r="A11" s="15"/>
      <c r="B11" s="16"/>
      <c r="C11" s="16"/>
      <c r="D11" s="16"/>
      <c r="E11" s="16"/>
      <c r="F11" s="17"/>
      <c r="G11" s="18"/>
    </row>
    <row r="12" spans="1:7" ht="15.75" thickBot="1">
      <c r="A12" s="19" t="s">
        <v>10</v>
      </c>
      <c r="B12" s="20"/>
      <c r="C12" s="20"/>
      <c r="D12" s="20"/>
      <c r="E12" s="20"/>
      <c r="F12" s="4"/>
    </row>
    <row r="13" spans="1:7" ht="45.75" thickTop="1">
      <c r="A13" s="21" t="s">
        <v>11</v>
      </c>
      <c r="B13" s="22" t="s">
        <v>5</v>
      </c>
      <c r="C13" s="22" t="s">
        <v>6</v>
      </c>
      <c r="D13" s="22" t="s">
        <v>7</v>
      </c>
      <c r="E13" s="23" t="s">
        <v>8</v>
      </c>
      <c r="F13" s="24"/>
      <c r="G13" s="10" t="s">
        <v>9</v>
      </c>
    </row>
    <row r="14" spans="1:7">
      <c r="A14" s="26" t="s">
        <v>12</v>
      </c>
      <c r="B14" s="27">
        <f>'Chaitra 070'!B14</f>
        <v>79</v>
      </c>
      <c r="C14" s="27">
        <f>'Chaitra 070'!C14+6</f>
        <v>1150</v>
      </c>
      <c r="D14" s="27">
        <f>'Chaitra 070'!D14</f>
        <v>0</v>
      </c>
      <c r="E14" s="28">
        <f>B14+C14+D14</f>
        <v>1229</v>
      </c>
      <c r="F14" s="29"/>
      <c r="G14" s="30">
        <v>6</v>
      </c>
    </row>
    <row r="15" spans="1:7">
      <c r="A15" s="26" t="s">
        <v>13</v>
      </c>
      <c r="B15" s="27">
        <f>'Chaitra 070'!B15+6</f>
        <v>2906</v>
      </c>
      <c r="C15" s="27">
        <f>'Chaitra 070'!C15</f>
        <v>75</v>
      </c>
      <c r="D15" s="27">
        <f>'Chaitra 070'!D15</f>
        <v>8</v>
      </c>
      <c r="E15" s="28">
        <f t="shared" ref="E15:E25" si="0">B15+C15+D15</f>
        <v>2989</v>
      </c>
      <c r="F15" s="29" t="s">
        <v>14</v>
      </c>
      <c r="G15" s="30">
        <v>6</v>
      </c>
    </row>
    <row r="16" spans="1:7">
      <c r="A16" s="26" t="s">
        <v>15</v>
      </c>
      <c r="B16" s="27">
        <f>'Chaitra 070'!B16+4</f>
        <v>320</v>
      </c>
      <c r="C16" s="27">
        <f>'Chaitra 070'!C16</f>
        <v>3</v>
      </c>
      <c r="D16" s="27">
        <f>'Chaitra 070'!D16+1</f>
        <v>27</v>
      </c>
      <c r="E16" s="28">
        <f t="shared" si="0"/>
        <v>350</v>
      </c>
      <c r="F16" s="29"/>
      <c r="G16" s="30">
        <v>5</v>
      </c>
    </row>
    <row r="17" spans="1:7">
      <c r="A17" s="31" t="s">
        <v>16</v>
      </c>
      <c r="B17" s="27">
        <f>'Chaitra 070'!B17+2</f>
        <v>73</v>
      </c>
      <c r="C17" s="27">
        <f>'Chaitra 070'!C17</f>
        <v>31</v>
      </c>
      <c r="D17" s="27">
        <f>'Chaitra 070'!D17</f>
        <v>0</v>
      </c>
      <c r="E17" s="28">
        <f t="shared" si="0"/>
        <v>104</v>
      </c>
      <c r="F17" s="29"/>
      <c r="G17" s="30">
        <v>2</v>
      </c>
    </row>
    <row r="18" spans="1:7">
      <c r="A18" s="26" t="s">
        <v>17</v>
      </c>
      <c r="B18" s="27">
        <f>'Chaitra 070'!B18+31</f>
        <v>9252</v>
      </c>
      <c r="C18" s="27">
        <f>'Chaitra 070'!C18</f>
        <v>148</v>
      </c>
      <c r="D18" s="27">
        <f>'Chaitra 070'!D18</f>
        <v>1</v>
      </c>
      <c r="E18" s="28">
        <f t="shared" si="0"/>
        <v>9401</v>
      </c>
      <c r="F18" s="29"/>
      <c r="G18" s="30">
        <v>31</v>
      </c>
    </row>
    <row r="19" spans="1:7">
      <c r="A19" s="26" t="s">
        <v>18</v>
      </c>
      <c r="B19" s="27">
        <f>'Chaitra 070'!B19</f>
        <v>0</v>
      </c>
      <c r="C19" s="27">
        <f>'Chaitra 070'!C19+31</f>
        <v>5947</v>
      </c>
      <c r="D19" s="27">
        <f>'Chaitra 070'!D19</f>
        <v>1</v>
      </c>
      <c r="E19" s="28">
        <f t="shared" si="0"/>
        <v>5948</v>
      </c>
      <c r="F19" s="29"/>
      <c r="G19" s="30">
        <v>31</v>
      </c>
    </row>
    <row r="20" spans="1:7">
      <c r="A20" s="26" t="s">
        <v>19</v>
      </c>
      <c r="B20" s="27">
        <f>'Chaitra 070'!B20</f>
        <v>141</v>
      </c>
      <c r="C20" s="27">
        <f>'Chaitra 070'!C20</f>
        <v>0</v>
      </c>
      <c r="D20" s="27">
        <f>'Chaitra 070'!D20</f>
        <v>0</v>
      </c>
      <c r="E20" s="28">
        <f t="shared" si="0"/>
        <v>141</v>
      </c>
      <c r="F20" s="29" t="s">
        <v>20</v>
      </c>
      <c r="G20" s="30">
        <v>0</v>
      </c>
    </row>
    <row r="21" spans="1:7">
      <c r="A21" s="26" t="s">
        <v>21</v>
      </c>
      <c r="B21" s="27">
        <f>'Chaitra 070'!B21+48</f>
        <v>1370</v>
      </c>
      <c r="C21" s="27">
        <f>'Chaitra 070'!C21</f>
        <v>60</v>
      </c>
      <c r="D21" s="27">
        <f>'Chaitra 070'!D21</f>
        <v>0</v>
      </c>
      <c r="E21" s="28">
        <f t="shared" si="0"/>
        <v>1430</v>
      </c>
      <c r="F21" s="29"/>
      <c r="G21" s="30">
        <v>48</v>
      </c>
    </row>
    <row r="22" spans="1:7">
      <c r="A22" s="26" t="s">
        <v>22</v>
      </c>
      <c r="B22" s="27">
        <f>'Chaitra 070'!B22+3</f>
        <v>43</v>
      </c>
      <c r="C22" s="27">
        <f>'Chaitra 070'!C22+37</f>
        <v>861</v>
      </c>
      <c r="D22" s="27">
        <f>'Chaitra 070'!D22</f>
        <v>0</v>
      </c>
      <c r="E22" s="28">
        <f t="shared" si="0"/>
        <v>904</v>
      </c>
      <c r="F22" s="29"/>
      <c r="G22" s="30">
        <v>40</v>
      </c>
    </row>
    <row r="23" spans="1:7">
      <c r="A23" s="26" t="s">
        <v>23</v>
      </c>
      <c r="B23" s="27">
        <f>'Chaitra 070'!B23</f>
        <v>0</v>
      </c>
      <c r="C23" s="27">
        <f>'Chaitra 070'!C23</f>
        <v>0</v>
      </c>
      <c r="D23" s="27">
        <f>'Chaitra 070'!D23</f>
        <v>0</v>
      </c>
      <c r="E23" s="28">
        <f t="shared" si="0"/>
        <v>0</v>
      </c>
      <c r="F23" s="32"/>
      <c r="G23" s="30">
        <v>0</v>
      </c>
    </row>
    <row r="24" spans="1:7">
      <c r="A24" s="33" t="s">
        <v>24</v>
      </c>
      <c r="B24" s="27">
        <f>'Chaitra 070'!B24+16</f>
        <v>1089</v>
      </c>
      <c r="C24" s="27">
        <f>'Chaitra 070'!C24+18</f>
        <v>730</v>
      </c>
      <c r="D24" s="27">
        <f>'Chaitra 070'!D24</f>
        <v>0</v>
      </c>
      <c r="E24" s="28">
        <f t="shared" si="0"/>
        <v>1819</v>
      </c>
      <c r="F24" s="34"/>
      <c r="G24" s="30">
        <v>34</v>
      </c>
    </row>
    <row r="25" spans="1:7">
      <c r="A25" s="35" t="s">
        <v>25</v>
      </c>
      <c r="B25" s="27">
        <f>'Chaitra 070'!B25+5</f>
        <v>294</v>
      </c>
      <c r="C25" s="27">
        <f>'Chaitra 070'!C25+7</f>
        <v>180</v>
      </c>
      <c r="D25" s="27">
        <f>'Chaitra 070'!D25</f>
        <v>2</v>
      </c>
      <c r="E25" s="28">
        <f t="shared" si="0"/>
        <v>476</v>
      </c>
      <c r="F25" s="29"/>
      <c r="G25" s="30">
        <v>12</v>
      </c>
    </row>
    <row r="26" spans="1:7" ht="15.75" thickBot="1">
      <c r="A26" s="36" t="s">
        <v>8</v>
      </c>
      <c r="B26" s="37">
        <f>SUM(B14:B25)</f>
        <v>15567</v>
      </c>
      <c r="C26" s="37">
        <f t="shared" ref="C26:E26" si="1">SUM(C14:C25)</f>
        <v>9185</v>
      </c>
      <c r="D26" s="37">
        <f t="shared" si="1"/>
        <v>39</v>
      </c>
      <c r="E26" s="37">
        <f t="shared" si="1"/>
        <v>24791</v>
      </c>
      <c r="F26" s="13"/>
      <c r="G26" s="38">
        <f>SUM(G14:G25)</f>
        <v>215</v>
      </c>
    </row>
    <row r="27" spans="1:7" ht="15.75" thickTop="1">
      <c r="A27" s="39" t="s">
        <v>26</v>
      </c>
      <c r="B27" s="40"/>
      <c r="C27" s="41"/>
      <c r="D27" s="41"/>
      <c r="E27" s="41"/>
      <c r="F27" s="42"/>
      <c r="G27" s="43"/>
    </row>
    <row r="28" spans="1:7">
      <c r="A28" s="44" t="s">
        <v>27</v>
      </c>
      <c r="B28" s="45"/>
      <c r="C28" s="45"/>
      <c r="D28" s="45"/>
      <c r="E28" s="45"/>
      <c r="F28" s="46"/>
      <c r="G28" s="47"/>
    </row>
    <row r="29" spans="1:7">
      <c r="A29" s="44"/>
      <c r="B29" s="45"/>
      <c r="C29" s="45"/>
      <c r="D29" s="45"/>
      <c r="E29" s="45"/>
      <c r="F29" s="46"/>
      <c r="G29" s="47"/>
    </row>
    <row r="30" spans="1:7" ht="15.75" thickBot="1">
      <c r="A30" s="19" t="s">
        <v>28</v>
      </c>
      <c r="B30" s="20"/>
      <c r="C30" s="20"/>
      <c r="D30" s="20"/>
      <c r="E30" s="20"/>
      <c r="F30" s="4"/>
    </row>
    <row r="31" spans="1:7" ht="45.75" thickTop="1">
      <c r="A31" s="48" t="s">
        <v>29</v>
      </c>
      <c r="B31" s="22" t="s">
        <v>5</v>
      </c>
      <c r="C31" s="22" t="s">
        <v>6</v>
      </c>
      <c r="D31" s="49" t="s">
        <v>7</v>
      </c>
      <c r="E31" s="49" t="s">
        <v>8</v>
      </c>
      <c r="F31" s="24"/>
      <c r="G31" s="10" t="s">
        <v>9</v>
      </c>
    </row>
    <row r="32" spans="1:7">
      <c r="A32" s="51" t="s">
        <v>30</v>
      </c>
      <c r="B32" s="27">
        <f>'Chaitra 070'!B32+1</f>
        <v>398</v>
      </c>
      <c r="C32" s="27">
        <f>'Chaitra 070'!C32+4</f>
        <v>239</v>
      </c>
      <c r="D32" s="27">
        <f>'Chaitra 070'!D32</f>
        <v>0</v>
      </c>
      <c r="E32" s="28">
        <f>B32+C32+D32</f>
        <v>637</v>
      </c>
      <c r="F32" s="29"/>
      <c r="G32" s="52">
        <v>5</v>
      </c>
    </row>
    <row r="33" spans="1:7">
      <c r="A33" s="51" t="s">
        <v>31</v>
      </c>
      <c r="B33" s="27">
        <f>'Chaitra 070'!B33+7</f>
        <v>462</v>
      </c>
      <c r="C33" s="27">
        <f>'Chaitra 070'!C33+11</f>
        <v>332</v>
      </c>
      <c r="D33" s="27">
        <f>'Chaitra 070'!D33</f>
        <v>0</v>
      </c>
      <c r="E33" s="28">
        <f t="shared" ref="E33:E41" si="2">B33+C33+D33</f>
        <v>794</v>
      </c>
      <c r="F33" s="29"/>
      <c r="G33" s="52">
        <v>18</v>
      </c>
    </row>
    <row r="34" spans="1:7">
      <c r="A34" s="51" t="s">
        <v>32</v>
      </c>
      <c r="B34" s="27">
        <f>'Chaitra 070'!B34+9</f>
        <v>232</v>
      </c>
      <c r="C34" s="27">
        <f>'Chaitra 070'!C34+4</f>
        <v>162</v>
      </c>
      <c r="D34" s="27">
        <f>'Chaitra 070'!D34</f>
        <v>0</v>
      </c>
      <c r="E34" s="28">
        <f t="shared" si="2"/>
        <v>394</v>
      </c>
      <c r="F34" s="29"/>
      <c r="G34" s="52">
        <v>13</v>
      </c>
    </row>
    <row r="35" spans="1:7">
      <c r="A35" s="51" t="s">
        <v>33</v>
      </c>
      <c r="B35" s="27">
        <f>'Chaitra 070'!B35</f>
        <v>343</v>
      </c>
      <c r="C35" s="27">
        <f>'Chaitra 070'!C35+2</f>
        <v>389</v>
      </c>
      <c r="D35" s="27">
        <f>'Chaitra 070'!D35</f>
        <v>3</v>
      </c>
      <c r="E35" s="28">
        <f t="shared" si="2"/>
        <v>735</v>
      </c>
      <c r="F35" s="29"/>
      <c r="G35" s="52">
        <v>2</v>
      </c>
    </row>
    <row r="36" spans="1:7">
      <c r="A36" s="51" t="s">
        <v>34</v>
      </c>
      <c r="B36" s="27">
        <f>'Chaitra 070'!B36+6</f>
        <v>1633</v>
      </c>
      <c r="C36" s="27">
        <f>'Chaitra 070'!C36+10</f>
        <v>1302</v>
      </c>
      <c r="D36" s="27">
        <f>'Chaitra 070'!D36</f>
        <v>8</v>
      </c>
      <c r="E36" s="28">
        <f t="shared" si="2"/>
        <v>2943</v>
      </c>
      <c r="F36" s="29"/>
      <c r="G36" s="52">
        <v>16</v>
      </c>
    </row>
    <row r="37" spans="1:7">
      <c r="A37" s="51" t="s">
        <v>35</v>
      </c>
      <c r="B37" s="27">
        <f>'Chaitra 070'!B37+19</f>
        <v>3058</v>
      </c>
      <c r="C37" s="27">
        <f>'Chaitra 070'!C37+9</f>
        <v>1987</v>
      </c>
      <c r="D37" s="27">
        <f>'Chaitra 070'!D37</f>
        <v>7</v>
      </c>
      <c r="E37" s="28">
        <f t="shared" si="2"/>
        <v>5052</v>
      </c>
      <c r="F37" s="29"/>
      <c r="G37" s="52">
        <v>28</v>
      </c>
    </row>
    <row r="38" spans="1:7">
      <c r="A38" s="51" t="s">
        <v>36</v>
      </c>
      <c r="B38" s="27">
        <f>'Chaitra 070'!B38+35</f>
        <v>6185</v>
      </c>
      <c r="C38" s="27">
        <f>'Chaitra 070'!C38+34</f>
        <v>3268</v>
      </c>
      <c r="D38" s="27">
        <f>'Chaitra 070'!D38</f>
        <v>14</v>
      </c>
      <c r="E38" s="28">
        <f t="shared" si="2"/>
        <v>9467</v>
      </c>
      <c r="F38" s="29"/>
      <c r="G38" s="52">
        <v>69</v>
      </c>
    </row>
    <row r="39" spans="1:7">
      <c r="A39" s="51" t="s">
        <v>37</v>
      </c>
      <c r="B39" s="27">
        <f>'Chaitra 070'!B39+29</f>
        <v>2478</v>
      </c>
      <c r="C39" s="27">
        <f>'Chaitra 070'!C39+18</f>
        <v>1162</v>
      </c>
      <c r="D39" s="27">
        <f>'Chaitra 070'!D39</f>
        <v>5</v>
      </c>
      <c r="E39" s="28">
        <f t="shared" si="2"/>
        <v>3645</v>
      </c>
      <c r="F39" s="29"/>
      <c r="G39" s="52">
        <v>47</v>
      </c>
    </row>
    <row r="40" spans="1:7">
      <c r="A40" s="51" t="s">
        <v>38</v>
      </c>
      <c r="B40" s="27">
        <f>'Chaitra 070'!B40+9</f>
        <v>778</v>
      </c>
      <c r="C40" s="27">
        <f>'Chaitra 070'!C40+7</f>
        <v>344</v>
      </c>
      <c r="D40" s="27">
        <f>'Chaitra 070'!D40+1</f>
        <v>2</v>
      </c>
      <c r="E40" s="28">
        <f t="shared" si="2"/>
        <v>1124</v>
      </c>
      <c r="F40" s="29"/>
      <c r="G40" s="52">
        <v>17</v>
      </c>
    </row>
    <row r="41" spans="1:7" ht="15.75" thickBot="1">
      <c r="A41" s="36" t="s">
        <v>39</v>
      </c>
      <c r="B41" s="11">
        <f>SUM(B32:B40)</f>
        <v>15567</v>
      </c>
      <c r="C41" s="11">
        <f>SUM(C32:C40)</f>
        <v>9185</v>
      </c>
      <c r="D41" s="53">
        <f>SUM(D32:D40)</f>
        <v>39</v>
      </c>
      <c r="E41" s="12">
        <f t="shared" si="2"/>
        <v>24791</v>
      </c>
      <c r="F41" s="13"/>
      <c r="G41" s="54">
        <f>SUM(G32:G40)</f>
        <v>215</v>
      </c>
    </row>
    <row r="42" spans="1:7" ht="15.75" thickTop="1">
      <c r="A42" s="4"/>
      <c r="B42" s="59"/>
      <c r="C42" s="59"/>
      <c r="D42" s="59"/>
      <c r="E42" s="59"/>
      <c r="F42" s="4"/>
    </row>
    <row r="43" spans="1:7">
      <c r="A43" s="63" t="s">
        <v>59</v>
      </c>
      <c r="B43" s="63"/>
      <c r="C43" s="63"/>
      <c r="D43" s="63"/>
      <c r="E43" s="63"/>
      <c r="F43" s="63"/>
      <c r="G43" s="55"/>
    </row>
    <row r="44" spans="1:7">
      <c r="A44" s="56" t="s">
        <v>41</v>
      </c>
      <c r="G44" s="55"/>
    </row>
    <row r="45" spans="1:7">
      <c r="A45" s="57" t="s">
        <v>42</v>
      </c>
      <c r="B45" s="58"/>
      <c r="G45" s="55"/>
    </row>
    <row r="46" spans="1:7">
      <c r="A46" s="57" t="s">
        <v>43</v>
      </c>
      <c r="B46" s="58"/>
      <c r="G46" s="55"/>
    </row>
    <row r="47" spans="1:7">
      <c r="A47" s="57" t="s">
        <v>44</v>
      </c>
      <c r="B47" s="58"/>
      <c r="G47" s="55"/>
    </row>
    <row r="48" spans="1:7">
      <c r="A48" s="57" t="s">
        <v>45</v>
      </c>
      <c r="B48" s="58"/>
      <c r="G48" s="55"/>
    </row>
    <row r="49" spans="1:7">
      <c r="A49" s="57" t="s">
        <v>46</v>
      </c>
      <c r="B49" s="58"/>
      <c r="G49" s="55"/>
    </row>
    <row r="50" spans="1:7">
      <c r="G50" s="55"/>
    </row>
  </sheetData>
  <mergeCells count="6">
    <mergeCell ref="A43:F43"/>
    <mergeCell ref="A3:G3"/>
    <mergeCell ref="A4:G4"/>
    <mergeCell ref="A6:G6"/>
    <mergeCell ref="A7:G7"/>
    <mergeCell ref="A9:A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0"/>
  <sheetViews>
    <sheetView topLeftCell="A19" workbookViewId="0">
      <selection activeCell="I48" sqref="I48"/>
    </sheetView>
  </sheetViews>
  <sheetFormatPr defaultRowHeight="15"/>
  <cols>
    <col min="1" max="1" width="45.42578125" bestFit="1" customWidth="1"/>
    <col min="2" max="2" width="10.5703125" bestFit="1" customWidth="1"/>
    <col min="3" max="3" width="10.42578125" bestFit="1" customWidth="1"/>
    <col min="4" max="4" width="9.28515625" bestFit="1" customWidth="1"/>
    <col min="5" max="5" width="11.5703125" bestFit="1" customWidth="1"/>
    <col min="7" max="7" width="9.28515625" bestFit="1" customWidth="1"/>
  </cols>
  <sheetData>
    <row r="2" spans="1:7">
      <c r="A2" s="1"/>
      <c r="B2" s="2"/>
      <c r="C2" s="2"/>
      <c r="D2" s="2"/>
      <c r="E2" s="2"/>
      <c r="F2" s="1"/>
      <c r="G2" s="2"/>
    </row>
    <row r="3" spans="1:7" ht="15.75">
      <c r="A3" s="64" t="s">
        <v>0</v>
      </c>
      <c r="B3" s="64"/>
      <c r="C3" s="64"/>
      <c r="D3" s="64"/>
      <c r="E3" s="64"/>
      <c r="F3" s="64"/>
      <c r="G3" s="64"/>
    </row>
    <row r="4" spans="1:7" ht="15.75">
      <c r="A4" s="64" t="s">
        <v>1</v>
      </c>
      <c r="B4" s="64"/>
      <c r="C4" s="64"/>
      <c r="D4" s="64"/>
      <c r="E4" s="64"/>
      <c r="F4" s="64"/>
      <c r="G4" s="64"/>
    </row>
    <row r="5" spans="1:7">
      <c r="A5" s="3"/>
      <c r="B5" s="3"/>
      <c r="C5" s="3"/>
      <c r="D5" s="3"/>
      <c r="E5" s="3"/>
      <c r="F5" s="3"/>
      <c r="G5" s="3"/>
    </row>
    <row r="6" spans="1:7">
      <c r="A6" s="65" t="s">
        <v>2</v>
      </c>
      <c r="B6" s="65"/>
      <c r="C6" s="65"/>
      <c r="D6" s="65"/>
      <c r="E6" s="65"/>
      <c r="F6" s="65"/>
      <c r="G6" s="65"/>
    </row>
    <row r="7" spans="1:7">
      <c r="A7" s="66" t="s">
        <v>52</v>
      </c>
      <c r="B7" s="66"/>
      <c r="C7" s="66"/>
      <c r="D7" s="66"/>
      <c r="E7" s="66"/>
      <c r="F7" s="66"/>
      <c r="G7" s="66"/>
    </row>
    <row r="8" spans="1:7" ht="15.75" thickBot="1">
      <c r="A8" s="4"/>
      <c r="B8" s="59"/>
      <c r="C8" s="59"/>
      <c r="D8" s="6"/>
      <c r="E8" s="59"/>
      <c r="F8" s="4"/>
    </row>
    <row r="9" spans="1:7" ht="45.75" thickTop="1">
      <c r="A9" s="67" t="s">
        <v>4</v>
      </c>
      <c r="B9" s="7" t="s">
        <v>5</v>
      </c>
      <c r="C9" s="7" t="s">
        <v>6</v>
      </c>
      <c r="D9" s="8" t="s">
        <v>7</v>
      </c>
      <c r="E9" s="9" t="s">
        <v>8</v>
      </c>
      <c r="F9" s="9"/>
      <c r="G9" s="10" t="s">
        <v>9</v>
      </c>
    </row>
    <row r="10" spans="1:7" ht="15.75" thickBot="1">
      <c r="A10" s="68"/>
      <c r="B10" s="11">
        <f>'Baishakh 071'!B10+155</f>
        <v>15722</v>
      </c>
      <c r="C10" s="11">
        <f>'Baishakh 071'!C10+90</f>
        <v>9275</v>
      </c>
      <c r="D10" s="11">
        <f>'Baishakh 071'!D10+1</f>
        <v>40</v>
      </c>
      <c r="E10" s="12">
        <f>B10+C10+D10</f>
        <v>25037</v>
      </c>
      <c r="F10" s="13"/>
      <c r="G10" s="14">
        <v>246</v>
      </c>
    </row>
    <row r="11" spans="1:7" ht="15.75" thickTop="1">
      <c r="A11" s="15"/>
      <c r="B11" s="16"/>
      <c r="C11" s="16"/>
      <c r="D11" s="16"/>
      <c r="E11" s="16"/>
      <c r="F11" s="17"/>
      <c r="G11" s="18"/>
    </row>
    <row r="12" spans="1:7" ht="15.75" thickBot="1">
      <c r="A12" s="19" t="s">
        <v>10</v>
      </c>
      <c r="B12" s="20"/>
      <c r="C12" s="20"/>
      <c r="D12" s="20"/>
      <c r="E12" s="20"/>
      <c r="F12" s="4"/>
    </row>
    <row r="13" spans="1:7" ht="45.75" thickTop="1">
      <c r="A13" s="21" t="s">
        <v>11</v>
      </c>
      <c r="B13" s="22" t="s">
        <v>5</v>
      </c>
      <c r="C13" s="22" t="s">
        <v>6</v>
      </c>
      <c r="D13" s="22" t="s">
        <v>7</v>
      </c>
      <c r="E13" s="23" t="s">
        <v>8</v>
      </c>
      <c r="F13" s="24"/>
      <c r="G13" s="10" t="s">
        <v>9</v>
      </c>
    </row>
    <row r="14" spans="1:7">
      <c r="A14" s="26" t="s">
        <v>12</v>
      </c>
      <c r="B14" s="27">
        <f>'Baishakh 071'!B14+1</f>
        <v>80</v>
      </c>
      <c r="C14" s="27">
        <f>'Baishakh 071'!C14+2</f>
        <v>1152</v>
      </c>
      <c r="D14" s="27">
        <f>'Baishakh 071'!D14</f>
        <v>0</v>
      </c>
      <c r="E14" s="28">
        <f>B14+C14+D14</f>
        <v>1232</v>
      </c>
      <c r="F14" s="29"/>
      <c r="G14" s="30">
        <v>3</v>
      </c>
    </row>
    <row r="15" spans="1:7">
      <c r="A15" s="26" t="s">
        <v>13</v>
      </c>
      <c r="B15" s="27">
        <f>'Baishakh 071'!B15+9</f>
        <v>2915</v>
      </c>
      <c r="C15" s="27">
        <f>'Baishakh 071'!C15</f>
        <v>75</v>
      </c>
      <c r="D15" s="27">
        <f>'Baishakh 071'!D15</f>
        <v>8</v>
      </c>
      <c r="E15" s="28">
        <f t="shared" ref="E15:E25" si="0">B15+C15+D15</f>
        <v>2998</v>
      </c>
      <c r="F15" s="29" t="s">
        <v>14</v>
      </c>
      <c r="G15" s="30">
        <v>9</v>
      </c>
    </row>
    <row r="16" spans="1:7">
      <c r="A16" s="26" t="s">
        <v>15</v>
      </c>
      <c r="B16" s="27">
        <f>'Baishakh 071'!B16+3</f>
        <v>323</v>
      </c>
      <c r="C16" s="27">
        <f>'Baishakh 071'!C16+1</f>
        <v>4</v>
      </c>
      <c r="D16" s="27">
        <f>'Baishakh 071'!D16+1</f>
        <v>28</v>
      </c>
      <c r="E16" s="28">
        <f t="shared" si="0"/>
        <v>355</v>
      </c>
      <c r="F16" s="29"/>
      <c r="G16" s="30">
        <v>5</v>
      </c>
    </row>
    <row r="17" spans="1:7">
      <c r="A17" s="31" t="s">
        <v>16</v>
      </c>
      <c r="B17" s="27">
        <f>'Baishakh 071'!B17+1</f>
        <v>74</v>
      </c>
      <c r="C17" s="27">
        <f>'Baishakh 071'!C17</f>
        <v>31</v>
      </c>
      <c r="D17" s="27">
        <f>'Baishakh 071'!D17</f>
        <v>0</v>
      </c>
      <c r="E17" s="28">
        <f t="shared" si="0"/>
        <v>105</v>
      </c>
      <c r="F17" s="29"/>
      <c r="G17" s="30">
        <v>1</v>
      </c>
    </row>
    <row r="18" spans="1:7">
      <c r="A18" s="26" t="s">
        <v>17</v>
      </c>
      <c r="B18" s="27">
        <f>'Baishakh 071'!B18+49</f>
        <v>9301</v>
      </c>
      <c r="C18" s="27">
        <f>'Baishakh 071'!C18</f>
        <v>148</v>
      </c>
      <c r="D18" s="27">
        <f>'Baishakh 071'!D18</f>
        <v>1</v>
      </c>
      <c r="E18" s="28">
        <f t="shared" si="0"/>
        <v>9450</v>
      </c>
      <c r="F18" s="29"/>
      <c r="G18" s="30">
        <v>49</v>
      </c>
    </row>
    <row r="19" spans="1:7">
      <c r="A19" s="26" t="s">
        <v>18</v>
      </c>
      <c r="B19" s="27">
        <f>'Baishakh 071'!B19</f>
        <v>0</v>
      </c>
      <c r="C19" s="27">
        <f>'Baishakh 071'!C19+32</f>
        <v>5979</v>
      </c>
      <c r="D19" s="27">
        <f>'Baishakh 071'!D19</f>
        <v>1</v>
      </c>
      <c r="E19" s="28">
        <f t="shared" si="0"/>
        <v>5980</v>
      </c>
      <c r="F19" s="29"/>
      <c r="G19" s="30">
        <v>32</v>
      </c>
    </row>
    <row r="20" spans="1:7">
      <c r="A20" s="26" t="s">
        <v>19</v>
      </c>
      <c r="B20" s="27">
        <f>'Baishakh 071'!B20+2</f>
        <v>143</v>
      </c>
      <c r="C20" s="27">
        <f>'Baishakh 071'!C20</f>
        <v>0</v>
      </c>
      <c r="D20" s="27">
        <f>'Baishakh 071'!D20</f>
        <v>0</v>
      </c>
      <c r="E20" s="28">
        <f t="shared" si="0"/>
        <v>143</v>
      </c>
      <c r="F20" s="29" t="s">
        <v>20</v>
      </c>
      <c r="G20" s="30">
        <v>2</v>
      </c>
    </row>
    <row r="21" spans="1:7">
      <c r="A21" s="26" t="s">
        <v>21</v>
      </c>
      <c r="B21" s="27">
        <f>'Baishakh 071'!B21+59</f>
        <v>1429</v>
      </c>
      <c r="C21" s="27">
        <f>'Baishakh 071'!C21+3</f>
        <v>63</v>
      </c>
      <c r="D21" s="27">
        <f>'Baishakh 071'!D21</f>
        <v>0</v>
      </c>
      <c r="E21" s="28">
        <f t="shared" si="0"/>
        <v>1492</v>
      </c>
      <c r="F21" s="29"/>
      <c r="G21" s="30">
        <v>62</v>
      </c>
    </row>
    <row r="22" spans="1:7">
      <c r="A22" s="26" t="s">
        <v>22</v>
      </c>
      <c r="B22" s="27">
        <f>'Baishakh 071'!B22+1</f>
        <v>44</v>
      </c>
      <c r="C22" s="27">
        <f>'Baishakh 071'!C22+34</f>
        <v>895</v>
      </c>
      <c r="D22" s="27">
        <f>'Baishakh 071'!D22</f>
        <v>0</v>
      </c>
      <c r="E22" s="28">
        <f t="shared" si="0"/>
        <v>939</v>
      </c>
      <c r="F22" s="29"/>
      <c r="G22" s="30">
        <v>35</v>
      </c>
    </row>
    <row r="23" spans="1:7">
      <c r="A23" s="26" t="s">
        <v>23</v>
      </c>
      <c r="B23" s="27">
        <f>'Baishakh 071'!B23</f>
        <v>0</v>
      </c>
      <c r="C23" s="27">
        <f>'Baishakh 071'!C23</f>
        <v>0</v>
      </c>
      <c r="D23" s="27">
        <f>'Baishakh 071'!D23</f>
        <v>0</v>
      </c>
      <c r="E23" s="28">
        <f t="shared" si="0"/>
        <v>0</v>
      </c>
      <c r="F23" s="32"/>
      <c r="G23" s="30">
        <v>0</v>
      </c>
    </row>
    <row r="24" spans="1:7">
      <c r="A24" s="33" t="s">
        <v>24</v>
      </c>
      <c r="B24" s="27">
        <f>'Baishakh 071'!B24+21</f>
        <v>1110</v>
      </c>
      <c r="C24" s="27">
        <f>'Baishakh 071'!C24+10</f>
        <v>740</v>
      </c>
      <c r="D24" s="27">
        <f>'Baishakh 071'!D24</f>
        <v>0</v>
      </c>
      <c r="E24" s="28">
        <f t="shared" si="0"/>
        <v>1850</v>
      </c>
      <c r="F24" s="34"/>
      <c r="G24" s="30">
        <v>31</v>
      </c>
    </row>
    <row r="25" spans="1:7">
      <c r="A25" s="35" t="s">
        <v>25</v>
      </c>
      <c r="B25" s="27">
        <f>'Baishakh 071'!B25+9</f>
        <v>303</v>
      </c>
      <c r="C25" s="27">
        <f>'Baishakh 071'!C25+8</f>
        <v>188</v>
      </c>
      <c r="D25" s="27">
        <f>'Baishakh 071'!D25</f>
        <v>2</v>
      </c>
      <c r="E25" s="28">
        <f t="shared" si="0"/>
        <v>493</v>
      </c>
      <c r="F25" s="29"/>
      <c r="G25" s="30">
        <v>17</v>
      </c>
    </row>
    <row r="26" spans="1:7" ht="15.75" thickBot="1">
      <c r="A26" s="36" t="s">
        <v>8</v>
      </c>
      <c r="B26" s="37">
        <f>SUM(B14:B25)</f>
        <v>15722</v>
      </c>
      <c r="C26" s="37">
        <f t="shared" ref="C26:E26" si="1">SUM(C14:C25)</f>
        <v>9275</v>
      </c>
      <c r="D26" s="37">
        <f t="shared" si="1"/>
        <v>40</v>
      </c>
      <c r="E26" s="37">
        <f t="shared" si="1"/>
        <v>25037</v>
      </c>
      <c r="F26" s="13"/>
      <c r="G26" s="38">
        <f>SUM(G14:G25)</f>
        <v>246</v>
      </c>
    </row>
    <row r="27" spans="1:7" ht="15.75" thickTop="1">
      <c r="A27" s="39" t="s">
        <v>26</v>
      </c>
      <c r="B27" s="40"/>
      <c r="C27" s="41"/>
      <c r="D27" s="41"/>
      <c r="E27" s="41"/>
      <c r="F27" s="42"/>
      <c r="G27" s="43"/>
    </row>
    <row r="28" spans="1:7">
      <c r="A28" s="44" t="s">
        <v>27</v>
      </c>
      <c r="B28" s="45"/>
      <c r="C28" s="45"/>
      <c r="D28" s="45"/>
      <c r="E28" s="45"/>
      <c r="F28" s="46"/>
      <c r="G28" s="47"/>
    </row>
    <row r="29" spans="1:7">
      <c r="A29" s="44"/>
      <c r="B29" s="45"/>
      <c r="C29" s="45"/>
      <c r="D29" s="45"/>
      <c r="E29" s="45"/>
      <c r="F29" s="46"/>
      <c r="G29" s="47"/>
    </row>
    <row r="30" spans="1:7" ht="15.75" thickBot="1">
      <c r="A30" s="19" t="s">
        <v>28</v>
      </c>
      <c r="B30" s="20"/>
      <c r="C30" s="20"/>
      <c r="D30" s="20"/>
      <c r="E30" s="20"/>
      <c r="F30" s="4"/>
    </row>
    <row r="31" spans="1:7" ht="45.75" thickTop="1">
      <c r="A31" s="48" t="s">
        <v>29</v>
      </c>
      <c r="B31" s="22" t="s">
        <v>5</v>
      </c>
      <c r="C31" s="22" t="s">
        <v>6</v>
      </c>
      <c r="D31" s="49" t="s">
        <v>7</v>
      </c>
      <c r="E31" s="49" t="s">
        <v>8</v>
      </c>
      <c r="F31" s="24"/>
      <c r="G31" s="10" t="s">
        <v>9</v>
      </c>
    </row>
    <row r="32" spans="1:7">
      <c r="A32" s="51" t="s">
        <v>30</v>
      </c>
      <c r="B32" s="27">
        <f>'Baishakh 071'!B32+5</f>
        <v>403</v>
      </c>
      <c r="C32" s="27">
        <f>'Baishakh 071'!C32+3</f>
        <v>242</v>
      </c>
      <c r="D32" s="27">
        <f>'Baishakh 071'!D32</f>
        <v>0</v>
      </c>
      <c r="E32" s="28">
        <f>B32+C32+D32</f>
        <v>645</v>
      </c>
      <c r="F32" s="29"/>
      <c r="G32" s="52">
        <v>8</v>
      </c>
    </row>
    <row r="33" spans="1:7">
      <c r="A33" s="51" t="s">
        <v>31</v>
      </c>
      <c r="B33" s="27">
        <f>'Baishakh 071'!B33+8</f>
        <v>470</v>
      </c>
      <c r="C33" s="27">
        <f>'Baishakh 071'!C33+3</f>
        <v>335</v>
      </c>
      <c r="D33" s="27">
        <f>'Baishakh 071'!D33</f>
        <v>0</v>
      </c>
      <c r="E33" s="28">
        <f t="shared" ref="E33:E41" si="2">B33+C33+D33</f>
        <v>805</v>
      </c>
      <c r="F33" s="29"/>
      <c r="G33" s="52">
        <v>11</v>
      </c>
    </row>
    <row r="34" spans="1:7">
      <c r="A34" s="51" t="s">
        <v>32</v>
      </c>
      <c r="B34" s="27">
        <f>'Baishakh 071'!B34+5</f>
        <v>237</v>
      </c>
      <c r="C34" s="27">
        <f>'Baishakh 071'!C34+4</f>
        <v>166</v>
      </c>
      <c r="D34" s="27">
        <f>'Baishakh 071'!D34</f>
        <v>0</v>
      </c>
      <c r="E34" s="28">
        <f t="shared" si="2"/>
        <v>403</v>
      </c>
      <c r="F34" s="29"/>
      <c r="G34" s="52">
        <v>9</v>
      </c>
    </row>
    <row r="35" spans="1:7">
      <c r="A35" s="51" t="s">
        <v>33</v>
      </c>
      <c r="B35" s="27">
        <f>'Baishakh 071'!B35+6</f>
        <v>349</v>
      </c>
      <c r="C35" s="27">
        <f>'Baishakh 071'!C35+3</f>
        <v>392</v>
      </c>
      <c r="D35" s="27">
        <f>'Baishakh 071'!D35</f>
        <v>3</v>
      </c>
      <c r="E35" s="28">
        <f t="shared" si="2"/>
        <v>744</v>
      </c>
      <c r="F35" s="29"/>
      <c r="G35" s="52">
        <v>9</v>
      </c>
    </row>
    <row r="36" spans="1:7">
      <c r="A36" s="51" t="s">
        <v>34</v>
      </c>
      <c r="B36" s="27">
        <f>'Baishakh 071'!B36+8</f>
        <v>1641</v>
      </c>
      <c r="C36" s="27">
        <f>'Baishakh 071'!C36+11</f>
        <v>1313</v>
      </c>
      <c r="D36" s="27">
        <f>'Baishakh 071'!D36</f>
        <v>8</v>
      </c>
      <c r="E36" s="28">
        <f t="shared" si="2"/>
        <v>2962</v>
      </c>
      <c r="F36" s="29"/>
      <c r="G36" s="52">
        <v>19</v>
      </c>
    </row>
    <row r="37" spans="1:7">
      <c r="A37" s="51" t="s">
        <v>35</v>
      </c>
      <c r="B37" s="27">
        <f>'Baishakh 071'!B37+19</f>
        <v>3077</v>
      </c>
      <c r="C37" s="27">
        <f>'Baishakh 071'!C37+17</f>
        <v>2004</v>
      </c>
      <c r="D37" s="27">
        <f>'Baishakh 071'!D37</f>
        <v>7</v>
      </c>
      <c r="E37" s="28">
        <f t="shared" si="2"/>
        <v>5088</v>
      </c>
      <c r="F37" s="29"/>
      <c r="G37" s="52">
        <v>36</v>
      </c>
    </row>
    <row r="38" spans="1:7">
      <c r="A38" s="51" t="s">
        <v>36</v>
      </c>
      <c r="B38" s="27">
        <f>'Baishakh 071'!B38+55</f>
        <v>6240</v>
      </c>
      <c r="C38" s="27">
        <f>'Baishakh 071'!C38+25</f>
        <v>3293</v>
      </c>
      <c r="D38" s="27">
        <f>'Baishakh 071'!D38</f>
        <v>14</v>
      </c>
      <c r="E38" s="28">
        <f t="shared" si="2"/>
        <v>9547</v>
      </c>
      <c r="F38" s="29"/>
      <c r="G38" s="52">
        <v>80</v>
      </c>
    </row>
    <row r="39" spans="1:7">
      <c r="A39" s="51" t="s">
        <v>37</v>
      </c>
      <c r="B39" s="27">
        <f>'Baishakh 071'!B39+28</f>
        <v>2506</v>
      </c>
      <c r="C39" s="27">
        <f>'Baishakh 071'!C39+11</f>
        <v>1173</v>
      </c>
      <c r="D39" s="27">
        <f>'Baishakh 071'!D39</f>
        <v>5</v>
      </c>
      <c r="E39" s="28">
        <f t="shared" si="2"/>
        <v>3684</v>
      </c>
      <c r="F39" s="29"/>
      <c r="G39" s="52">
        <v>39</v>
      </c>
    </row>
    <row r="40" spans="1:7">
      <c r="A40" s="51" t="s">
        <v>38</v>
      </c>
      <c r="B40" s="27">
        <f>'Baishakh 071'!B40+21</f>
        <v>799</v>
      </c>
      <c r="C40" s="27">
        <f>'Baishakh 071'!C40+13</f>
        <v>357</v>
      </c>
      <c r="D40" s="27">
        <f>'Baishakh 071'!D40+1</f>
        <v>3</v>
      </c>
      <c r="E40" s="28">
        <f t="shared" si="2"/>
        <v>1159</v>
      </c>
      <c r="F40" s="29"/>
      <c r="G40" s="52">
        <v>35</v>
      </c>
    </row>
    <row r="41" spans="1:7" ht="15.75" thickBot="1">
      <c r="A41" s="36" t="s">
        <v>39</v>
      </c>
      <c r="B41" s="11">
        <f>SUM(B32:B40)</f>
        <v>15722</v>
      </c>
      <c r="C41" s="11">
        <f>SUM(C32:C40)</f>
        <v>9275</v>
      </c>
      <c r="D41" s="53">
        <f>SUM(D32:D40)</f>
        <v>40</v>
      </c>
      <c r="E41" s="12">
        <f t="shared" si="2"/>
        <v>25037</v>
      </c>
      <c r="F41" s="13"/>
      <c r="G41" s="54">
        <f>SUM(G32:G40)</f>
        <v>246</v>
      </c>
    </row>
    <row r="42" spans="1:7" ht="15.75" thickTop="1">
      <c r="A42" s="4"/>
      <c r="B42" s="59"/>
      <c r="C42" s="59"/>
      <c r="D42" s="59"/>
      <c r="E42" s="59"/>
      <c r="F42" s="4"/>
    </row>
    <row r="43" spans="1:7">
      <c r="A43" s="63" t="s">
        <v>54</v>
      </c>
      <c r="B43" s="63"/>
      <c r="C43" s="63"/>
      <c r="D43" s="63"/>
      <c r="E43" s="63"/>
      <c r="F43" s="63"/>
      <c r="G43" s="55"/>
    </row>
    <row r="44" spans="1:7">
      <c r="A44" s="56" t="s">
        <v>41</v>
      </c>
      <c r="G44" s="55"/>
    </row>
    <row r="45" spans="1:7">
      <c r="A45" s="57" t="s">
        <v>42</v>
      </c>
      <c r="B45" s="58"/>
      <c r="G45" s="55"/>
    </row>
    <row r="46" spans="1:7">
      <c r="A46" s="57" t="s">
        <v>43</v>
      </c>
      <c r="B46" s="58"/>
      <c r="G46" s="55"/>
    </row>
    <row r="47" spans="1:7">
      <c r="A47" s="57" t="s">
        <v>44</v>
      </c>
      <c r="B47" s="58"/>
      <c r="G47" s="55"/>
    </row>
    <row r="48" spans="1:7">
      <c r="A48" s="57" t="s">
        <v>45</v>
      </c>
      <c r="B48" s="58"/>
      <c r="G48" s="55"/>
    </row>
    <row r="49" spans="1:7">
      <c r="A49" s="57" t="s">
        <v>46</v>
      </c>
      <c r="B49" s="58"/>
      <c r="G49" s="55"/>
    </row>
    <row r="50" spans="1:7">
      <c r="G50" s="55"/>
    </row>
  </sheetData>
  <mergeCells count="6">
    <mergeCell ref="A43:F43"/>
    <mergeCell ref="A3:G3"/>
    <mergeCell ref="A4:G4"/>
    <mergeCell ref="A6:G6"/>
    <mergeCell ref="A7:G7"/>
    <mergeCell ref="A9:A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0"/>
  <sheetViews>
    <sheetView view="pageBreakPreview" topLeftCell="A24" zoomScale="60" workbookViewId="0">
      <selection activeCell="Y38" sqref="Y38"/>
    </sheetView>
  </sheetViews>
  <sheetFormatPr defaultRowHeight="15"/>
  <cols>
    <col min="1" max="1" width="45.42578125" bestFit="1" customWidth="1"/>
    <col min="2" max="2" width="10.85546875" bestFit="1" customWidth="1"/>
    <col min="3" max="3" width="10.5703125" bestFit="1" customWidth="1"/>
    <col min="4" max="4" width="9.42578125" bestFit="1" customWidth="1"/>
    <col min="5" max="5" width="11.7109375" bestFit="1" customWidth="1"/>
    <col min="7" max="7" width="9.42578125" bestFit="1" customWidth="1"/>
  </cols>
  <sheetData>
    <row r="2" spans="1:7">
      <c r="A2" s="1"/>
      <c r="B2" s="2"/>
      <c r="C2" s="2"/>
      <c r="D2" s="2"/>
      <c r="E2" s="2"/>
      <c r="F2" s="1"/>
      <c r="G2" s="2"/>
    </row>
    <row r="3" spans="1:7" ht="15.75">
      <c r="A3" s="64" t="s">
        <v>0</v>
      </c>
      <c r="B3" s="64"/>
      <c r="C3" s="64"/>
      <c r="D3" s="64"/>
      <c r="E3" s="64"/>
      <c r="F3" s="64"/>
      <c r="G3" s="64"/>
    </row>
    <row r="4" spans="1:7" ht="15.75">
      <c r="A4" s="64" t="s">
        <v>1</v>
      </c>
      <c r="B4" s="64"/>
      <c r="C4" s="64"/>
      <c r="D4" s="64"/>
      <c r="E4" s="64"/>
      <c r="F4" s="64"/>
      <c r="G4" s="64"/>
    </row>
    <row r="5" spans="1:7">
      <c r="A5" s="3"/>
      <c r="B5" s="3"/>
      <c r="C5" s="3"/>
      <c r="D5" s="3"/>
      <c r="E5" s="3"/>
      <c r="F5" s="3"/>
      <c r="G5" s="3"/>
    </row>
    <row r="6" spans="1:7">
      <c r="A6" s="65" t="s">
        <v>2</v>
      </c>
      <c r="B6" s="65"/>
      <c r="C6" s="65"/>
      <c r="D6" s="65"/>
      <c r="E6" s="65"/>
      <c r="F6" s="65"/>
      <c r="G6" s="65"/>
    </row>
    <row r="7" spans="1:7">
      <c r="A7" s="66" t="s">
        <v>53</v>
      </c>
      <c r="B7" s="66"/>
      <c r="C7" s="66"/>
      <c r="D7" s="66"/>
      <c r="E7" s="66"/>
      <c r="F7" s="66"/>
      <c r="G7" s="66"/>
    </row>
    <row r="8" spans="1:7" ht="15.75" thickBot="1">
      <c r="A8" s="4"/>
      <c r="B8" s="59"/>
      <c r="C8" s="59"/>
      <c r="D8" s="6"/>
      <c r="E8" s="59"/>
      <c r="F8" s="4"/>
    </row>
    <row r="9" spans="1:7" ht="45.75" thickTop="1">
      <c r="A9" s="67" t="s">
        <v>4</v>
      </c>
      <c r="B9" s="7" t="s">
        <v>5</v>
      </c>
      <c r="C9" s="7" t="s">
        <v>6</v>
      </c>
      <c r="D9" s="8" t="s">
        <v>7</v>
      </c>
      <c r="E9" s="9" t="s">
        <v>8</v>
      </c>
      <c r="F9" s="9"/>
      <c r="G9" s="10" t="s">
        <v>9</v>
      </c>
    </row>
    <row r="10" spans="1:7" ht="15.75" thickBot="1">
      <c r="A10" s="68"/>
      <c r="B10" s="11">
        <f>'Jestha 071'!B10+115</f>
        <v>15837</v>
      </c>
      <c r="C10" s="11">
        <f>'Jestha 071'!C10+69</f>
        <v>9344</v>
      </c>
      <c r="D10" s="11">
        <f>'Jestha 071'!D10+1</f>
        <v>41</v>
      </c>
      <c r="E10" s="12">
        <f>B10+C10+D10</f>
        <v>25222</v>
      </c>
      <c r="F10" s="13"/>
      <c r="G10" s="14">
        <v>185</v>
      </c>
    </row>
    <row r="11" spans="1:7" ht="15.75" thickTop="1">
      <c r="A11" s="15"/>
      <c r="B11" s="16"/>
      <c r="C11" s="16"/>
      <c r="D11" s="16"/>
      <c r="E11" s="16"/>
      <c r="F11" s="17"/>
      <c r="G11" s="18"/>
    </row>
    <row r="12" spans="1:7" ht="15.75" thickBot="1">
      <c r="A12" s="19" t="s">
        <v>10</v>
      </c>
      <c r="B12" s="20"/>
      <c r="C12" s="20"/>
      <c r="D12" s="20"/>
      <c r="E12" s="20"/>
      <c r="F12" s="4"/>
    </row>
    <row r="13" spans="1:7" ht="45.75" thickTop="1">
      <c r="A13" s="21" t="s">
        <v>11</v>
      </c>
      <c r="B13" s="22" t="s">
        <v>5</v>
      </c>
      <c r="C13" s="22" t="s">
        <v>6</v>
      </c>
      <c r="D13" s="22" t="s">
        <v>7</v>
      </c>
      <c r="E13" s="23" t="s">
        <v>8</v>
      </c>
      <c r="F13" s="24"/>
      <c r="G13" s="10" t="s">
        <v>9</v>
      </c>
    </row>
    <row r="14" spans="1:7">
      <c r="A14" s="26" t="s">
        <v>12</v>
      </c>
      <c r="B14" s="27">
        <f>'Jestha 071'!B14</f>
        <v>80</v>
      </c>
      <c r="C14" s="27">
        <f>'Jestha 071'!C14+3</f>
        <v>1155</v>
      </c>
      <c r="D14" s="27">
        <f>'Jestha 071'!D14</f>
        <v>0</v>
      </c>
      <c r="E14" s="28">
        <f>B14+C14+D14</f>
        <v>1235</v>
      </c>
      <c r="F14" s="29"/>
      <c r="G14" s="30">
        <v>3</v>
      </c>
    </row>
    <row r="15" spans="1:7">
      <c r="A15" s="26" t="s">
        <v>13</v>
      </c>
      <c r="B15" s="27">
        <f>'Jestha 071'!B15+8</f>
        <v>2923</v>
      </c>
      <c r="C15" s="27">
        <f>'Jestha 071'!C15+2</f>
        <v>77</v>
      </c>
      <c r="D15" s="27">
        <f>'Jestha 071'!D15</f>
        <v>8</v>
      </c>
      <c r="E15" s="28">
        <f t="shared" ref="E15:E25" si="0">B15+C15+D15</f>
        <v>3008</v>
      </c>
      <c r="F15" s="29" t="s">
        <v>14</v>
      </c>
      <c r="G15" s="30">
        <v>10</v>
      </c>
    </row>
    <row r="16" spans="1:7">
      <c r="A16" s="26" t="s">
        <v>15</v>
      </c>
      <c r="B16" s="27">
        <f>'Jestha 071'!B16+7</f>
        <v>330</v>
      </c>
      <c r="C16" s="27">
        <f>'Jestha 071'!C16</f>
        <v>4</v>
      </c>
      <c r="D16" s="27">
        <f>'Jestha 071'!D16+1</f>
        <v>29</v>
      </c>
      <c r="E16" s="28">
        <f t="shared" si="0"/>
        <v>363</v>
      </c>
      <c r="F16" s="29"/>
      <c r="G16" s="30">
        <v>8</v>
      </c>
    </row>
    <row r="17" spans="1:7">
      <c r="A17" s="31" t="s">
        <v>16</v>
      </c>
      <c r="B17" s="27">
        <f>'Jestha 071'!B17</f>
        <v>74</v>
      </c>
      <c r="C17" s="27">
        <f>'Jestha 071'!C17</f>
        <v>31</v>
      </c>
      <c r="D17" s="27">
        <f>'Jestha 071'!D17</f>
        <v>0</v>
      </c>
      <c r="E17" s="28">
        <f t="shared" si="0"/>
        <v>105</v>
      </c>
      <c r="F17" s="29"/>
      <c r="G17" s="30">
        <v>0</v>
      </c>
    </row>
    <row r="18" spans="1:7">
      <c r="A18" s="26" t="s">
        <v>17</v>
      </c>
      <c r="B18" s="27">
        <f>'Jestha 071'!B18+33</f>
        <v>9334</v>
      </c>
      <c r="C18" s="27">
        <f>'Jestha 071'!C18+5</f>
        <v>153</v>
      </c>
      <c r="D18" s="27">
        <f>'Jestha 071'!D18</f>
        <v>1</v>
      </c>
      <c r="E18" s="28">
        <f t="shared" si="0"/>
        <v>9488</v>
      </c>
      <c r="F18" s="29"/>
      <c r="G18" s="30">
        <v>38</v>
      </c>
    </row>
    <row r="19" spans="1:7">
      <c r="A19" s="26" t="s">
        <v>18</v>
      </c>
      <c r="B19" s="27">
        <f>'Jestha 071'!B19</f>
        <v>0</v>
      </c>
      <c r="C19" s="27">
        <f>'Jestha 071'!C19+19</f>
        <v>5998</v>
      </c>
      <c r="D19" s="27">
        <f>'Jestha 071'!D19</f>
        <v>1</v>
      </c>
      <c r="E19" s="28">
        <f t="shared" si="0"/>
        <v>5999</v>
      </c>
      <c r="F19" s="29"/>
      <c r="G19" s="30">
        <v>19</v>
      </c>
    </row>
    <row r="20" spans="1:7">
      <c r="A20" s="26" t="s">
        <v>19</v>
      </c>
      <c r="B20" s="27">
        <f>'Jestha 071'!B20+4</f>
        <v>147</v>
      </c>
      <c r="C20" s="27">
        <f>'Jestha 071'!C20</f>
        <v>0</v>
      </c>
      <c r="D20" s="27">
        <f>'Jestha 071'!D20</f>
        <v>0</v>
      </c>
      <c r="E20" s="28">
        <f t="shared" si="0"/>
        <v>147</v>
      </c>
      <c r="F20" s="29" t="s">
        <v>20</v>
      </c>
      <c r="G20" s="30">
        <v>4</v>
      </c>
    </row>
    <row r="21" spans="1:7">
      <c r="A21" s="26" t="s">
        <v>21</v>
      </c>
      <c r="B21" s="27">
        <f>'Jestha 071'!B21+37</f>
        <v>1466</v>
      </c>
      <c r="C21" s="27">
        <f>'Jestha 071'!C21+9</f>
        <v>72</v>
      </c>
      <c r="D21" s="27">
        <f>'Jestha 071'!D21</f>
        <v>0</v>
      </c>
      <c r="E21" s="28">
        <f t="shared" si="0"/>
        <v>1538</v>
      </c>
      <c r="F21" s="29"/>
      <c r="G21" s="30">
        <v>46</v>
      </c>
    </row>
    <row r="22" spans="1:7">
      <c r="A22" s="26" t="s">
        <v>22</v>
      </c>
      <c r="B22" s="27">
        <f>'Jestha 071'!B22+9</f>
        <v>53</v>
      </c>
      <c r="C22" s="27">
        <f>'Jestha 071'!C22+22</f>
        <v>917</v>
      </c>
      <c r="D22" s="27">
        <f>'Jestha 071'!D22</f>
        <v>0</v>
      </c>
      <c r="E22" s="28">
        <f t="shared" si="0"/>
        <v>970</v>
      </c>
      <c r="F22" s="29"/>
      <c r="G22" s="30">
        <v>31</v>
      </c>
    </row>
    <row r="23" spans="1:7">
      <c r="A23" s="26" t="s">
        <v>23</v>
      </c>
      <c r="B23" s="27">
        <f>'Jestha 071'!B23</f>
        <v>0</v>
      </c>
      <c r="C23" s="27">
        <f>'Jestha 071'!C23</f>
        <v>0</v>
      </c>
      <c r="D23" s="27">
        <f>'Jestha 071'!D23</f>
        <v>0</v>
      </c>
      <c r="E23" s="28">
        <f t="shared" si="0"/>
        <v>0</v>
      </c>
      <c r="F23" s="32"/>
      <c r="G23" s="30">
        <v>0</v>
      </c>
    </row>
    <row r="24" spans="1:7">
      <c r="A24" s="33" t="s">
        <v>24</v>
      </c>
      <c r="B24" s="27">
        <f>'Jestha 071'!B24+9</f>
        <v>1119</v>
      </c>
      <c r="C24" s="27">
        <f>'Jestha 071'!C24+5</f>
        <v>745</v>
      </c>
      <c r="D24" s="27">
        <f>'Jestha 071'!D24</f>
        <v>0</v>
      </c>
      <c r="E24" s="28">
        <f t="shared" si="0"/>
        <v>1864</v>
      </c>
      <c r="F24" s="34"/>
      <c r="G24" s="30">
        <v>14</v>
      </c>
    </row>
    <row r="25" spans="1:7">
      <c r="A25" s="35" t="s">
        <v>25</v>
      </c>
      <c r="B25" s="27">
        <f>'Jestha 071'!B25+8</f>
        <v>311</v>
      </c>
      <c r="C25" s="27">
        <f>'Jestha 071'!C25+4</f>
        <v>192</v>
      </c>
      <c r="D25" s="27">
        <f>'Jestha 071'!D25</f>
        <v>2</v>
      </c>
      <c r="E25" s="28">
        <f t="shared" si="0"/>
        <v>505</v>
      </c>
      <c r="F25" s="29"/>
      <c r="G25" s="30">
        <v>12</v>
      </c>
    </row>
    <row r="26" spans="1:7" ht="15.75" thickBot="1">
      <c r="A26" s="36" t="s">
        <v>8</v>
      </c>
      <c r="B26" s="37">
        <f>SUM(B14:B25)</f>
        <v>15837</v>
      </c>
      <c r="C26" s="37">
        <f t="shared" ref="C26:E26" si="1">SUM(C14:C25)</f>
        <v>9344</v>
      </c>
      <c r="D26" s="37">
        <f t="shared" si="1"/>
        <v>41</v>
      </c>
      <c r="E26" s="37">
        <f t="shared" si="1"/>
        <v>25222</v>
      </c>
      <c r="F26" s="13"/>
      <c r="G26" s="38">
        <f>SUM(G14:G25)</f>
        <v>185</v>
      </c>
    </row>
    <row r="27" spans="1:7" ht="15.75" thickTop="1">
      <c r="A27" s="39" t="s">
        <v>26</v>
      </c>
      <c r="B27" s="40"/>
      <c r="C27" s="41"/>
      <c r="D27" s="41"/>
      <c r="E27" s="41"/>
      <c r="F27" s="42"/>
      <c r="G27" s="43"/>
    </row>
    <row r="28" spans="1:7">
      <c r="A28" s="44" t="s">
        <v>27</v>
      </c>
      <c r="B28" s="45"/>
      <c r="C28" s="45"/>
      <c r="D28" s="45"/>
      <c r="E28" s="45"/>
      <c r="F28" s="46"/>
      <c r="G28" s="47"/>
    </row>
    <row r="29" spans="1:7">
      <c r="A29" s="44"/>
      <c r="B29" s="45"/>
      <c r="C29" s="45"/>
      <c r="D29" s="45"/>
      <c r="E29" s="45"/>
      <c r="F29" s="46"/>
      <c r="G29" s="47"/>
    </row>
    <row r="30" spans="1:7" ht="15.75" thickBot="1">
      <c r="A30" s="19" t="s">
        <v>28</v>
      </c>
      <c r="B30" s="20"/>
      <c r="C30" s="20"/>
      <c r="D30" s="20"/>
      <c r="E30" s="20"/>
      <c r="F30" s="4"/>
    </row>
    <row r="31" spans="1:7" ht="45.75" thickTop="1">
      <c r="A31" s="48" t="s">
        <v>29</v>
      </c>
      <c r="B31" s="22" t="s">
        <v>5</v>
      </c>
      <c r="C31" s="22" t="s">
        <v>6</v>
      </c>
      <c r="D31" s="49" t="s">
        <v>7</v>
      </c>
      <c r="E31" s="49" t="s">
        <v>8</v>
      </c>
      <c r="F31" s="24"/>
      <c r="G31" s="10" t="s">
        <v>9</v>
      </c>
    </row>
    <row r="32" spans="1:7">
      <c r="A32" s="51" t="s">
        <v>30</v>
      </c>
      <c r="B32" s="27">
        <f>'Jestha 071'!B32</f>
        <v>403</v>
      </c>
      <c r="C32" s="27">
        <f>'Jestha 071'!C32+2</f>
        <v>244</v>
      </c>
      <c r="D32" s="27">
        <f>'Jestha 071'!D32</f>
        <v>0</v>
      </c>
      <c r="E32" s="28">
        <f>B32+C32+D32</f>
        <v>647</v>
      </c>
      <c r="F32" s="29"/>
      <c r="G32" s="52">
        <v>2</v>
      </c>
    </row>
    <row r="33" spans="1:7">
      <c r="A33" s="51" t="s">
        <v>31</v>
      </c>
      <c r="B33" s="27">
        <f>'Jestha 071'!B33+8</f>
        <v>478</v>
      </c>
      <c r="C33" s="27">
        <f>'Jestha 071'!C33+3</f>
        <v>338</v>
      </c>
      <c r="D33" s="27">
        <f>'Jestha 071'!D33</f>
        <v>0</v>
      </c>
      <c r="E33" s="28">
        <f t="shared" ref="E33:E41" si="2">B33+C33+D33</f>
        <v>816</v>
      </c>
      <c r="F33" s="29"/>
      <c r="G33" s="52">
        <v>11</v>
      </c>
    </row>
    <row r="34" spans="1:7">
      <c r="A34" s="51" t="s">
        <v>32</v>
      </c>
      <c r="B34" s="27">
        <f>'Jestha 071'!B34+2</f>
        <v>239</v>
      </c>
      <c r="C34" s="27">
        <f>'Jestha 071'!C34</f>
        <v>166</v>
      </c>
      <c r="D34" s="27">
        <f>'Jestha 071'!D34</f>
        <v>0</v>
      </c>
      <c r="E34" s="28">
        <f t="shared" si="2"/>
        <v>405</v>
      </c>
      <c r="F34" s="29"/>
      <c r="G34" s="52">
        <v>2</v>
      </c>
    </row>
    <row r="35" spans="1:7">
      <c r="A35" s="51" t="s">
        <v>33</v>
      </c>
      <c r="B35" s="27">
        <f>'Jestha 071'!B35+3</f>
        <v>352</v>
      </c>
      <c r="C35" s="27">
        <f>'Jestha 071'!C35+1</f>
        <v>393</v>
      </c>
      <c r="D35" s="27">
        <f>'Jestha 071'!D35</f>
        <v>3</v>
      </c>
      <c r="E35" s="28">
        <f t="shared" si="2"/>
        <v>748</v>
      </c>
      <c r="F35" s="29"/>
      <c r="G35" s="52">
        <v>4</v>
      </c>
    </row>
    <row r="36" spans="1:7">
      <c r="A36" s="51" t="s">
        <v>34</v>
      </c>
      <c r="B36" s="27">
        <f>'Jestha 071'!B36+6</f>
        <v>1647</v>
      </c>
      <c r="C36" s="27">
        <f>'Jestha 071'!C36+6</f>
        <v>1319</v>
      </c>
      <c r="D36" s="27">
        <f>'Jestha 071'!D36</f>
        <v>8</v>
      </c>
      <c r="E36" s="28">
        <f t="shared" si="2"/>
        <v>2974</v>
      </c>
      <c r="F36" s="29"/>
      <c r="G36" s="52">
        <v>12</v>
      </c>
    </row>
    <row r="37" spans="1:7">
      <c r="A37" s="51" t="s">
        <v>35</v>
      </c>
      <c r="B37" s="27">
        <f>'Jestha 071'!B37+11</f>
        <v>3088</v>
      </c>
      <c r="C37" s="27">
        <f>'Jestha 071'!C37+9</f>
        <v>2013</v>
      </c>
      <c r="D37" s="27">
        <f>'Jestha 071'!D37</f>
        <v>7</v>
      </c>
      <c r="E37" s="28">
        <f t="shared" si="2"/>
        <v>5108</v>
      </c>
      <c r="F37" s="29"/>
      <c r="G37" s="52">
        <v>20</v>
      </c>
    </row>
    <row r="38" spans="1:7">
      <c r="A38" s="51" t="s">
        <v>36</v>
      </c>
      <c r="B38" s="27">
        <f>'Jestha 071'!B38+49</f>
        <v>6289</v>
      </c>
      <c r="C38" s="27">
        <f>'Jestha 071'!C38+21</f>
        <v>3314</v>
      </c>
      <c r="D38" s="27">
        <f>'Jestha 071'!D38+1</f>
        <v>15</v>
      </c>
      <c r="E38" s="28">
        <f t="shared" si="2"/>
        <v>9618</v>
      </c>
      <c r="F38" s="29"/>
      <c r="G38" s="52">
        <v>71</v>
      </c>
    </row>
    <row r="39" spans="1:7">
      <c r="A39" s="51" t="s">
        <v>37</v>
      </c>
      <c r="B39" s="27">
        <f>'Jestha 071'!B39+23</f>
        <v>2529</v>
      </c>
      <c r="C39" s="27">
        <f>'Jestha 071'!C39+18</f>
        <v>1191</v>
      </c>
      <c r="D39" s="27">
        <f>'Jestha 071'!D39</f>
        <v>5</v>
      </c>
      <c r="E39" s="28">
        <f t="shared" si="2"/>
        <v>3725</v>
      </c>
      <c r="F39" s="29"/>
      <c r="G39" s="52">
        <v>41</v>
      </c>
    </row>
    <row r="40" spans="1:7">
      <c r="A40" s="51" t="s">
        <v>38</v>
      </c>
      <c r="B40" s="27">
        <f>'Jestha 071'!B40+13</f>
        <v>812</v>
      </c>
      <c r="C40" s="27">
        <f>'Jestha 071'!C40+9</f>
        <v>366</v>
      </c>
      <c r="D40" s="27">
        <f>'Jestha 071'!D40</f>
        <v>3</v>
      </c>
      <c r="E40" s="28">
        <f t="shared" si="2"/>
        <v>1181</v>
      </c>
      <c r="F40" s="29"/>
      <c r="G40" s="52">
        <v>22</v>
      </c>
    </row>
    <row r="41" spans="1:7" ht="15.75" thickBot="1">
      <c r="A41" s="36" t="s">
        <v>39</v>
      </c>
      <c r="B41" s="11">
        <f>SUM(B32:B40)</f>
        <v>15837</v>
      </c>
      <c r="C41" s="11">
        <f>SUM(C32:C40)</f>
        <v>9344</v>
      </c>
      <c r="D41" s="53">
        <f>SUM(D32:D40)</f>
        <v>41</v>
      </c>
      <c r="E41" s="12">
        <f t="shared" si="2"/>
        <v>25222</v>
      </c>
      <c r="F41" s="13"/>
      <c r="G41" s="54">
        <f>SUM(G32:G40)</f>
        <v>185</v>
      </c>
    </row>
    <row r="42" spans="1:7" ht="15.75" thickTop="1">
      <c r="A42" s="4"/>
      <c r="B42" s="59"/>
      <c r="C42" s="59"/>
      <c r="D42" s="59"/>
      <c r="E42" s="59"/>
      <c r="F42" s="4"/>
    </row>
    <row r="43" spans="1:7">
      <c r="A43" s="63" t="s">
        <v>60</v>
      </c>
      <c r="B43" s="63"/>
      <c r="C43" s="63"/>
      <c r="D43" s="63"/>
      <c r="E43" s="63"/>
      <c r="F43" s="63"/>
      <c r="G43" s="55"/>
    </row>
    <row r="44" spans="1:7">
      <c r="A44" s="56" t="s">
        <v>41</v>
      </c>
      <c r="G44" s="55"/>
    </row>
    <row r="45" spans="1:7">
      <c r="A45" s="57" t="s">
        <v>42</v>
      </c>
      <c r="B45" s="58"/>
      <c r="G45" s="55"/>
    </row>
    <row r="46" spans="1:7">
      <c r="A46" s="57" t="s">
        <v>43</v>
      </c>
      <c r="B46" s="58"/>
      <c r="G46" s="55"/>
    </row>
    <row r="47" spans="1:7">
      <c r="A47" s="57" t="s">
        <v>44</v>
      </c>
      <c r="B47" s="58"/>
      <c r="G47" s="55"/>
    </row>
    <row r="48" spans="1:7">
      <c r="A48" s="57" t="s">
        <v>45</v>
      </c>
      <c r="B48" s="58"/>
      <c r="G48" s="55"/>
    </row>
    <row r="49" spans="1:7">
      <c r="A49" s="57" t="s">
        <v>46</v>
      </c>
      <c r="B49" s="58"/>
      <c r="G49" s="55"/>
    </row>
    <row r="50" spans="1:7">
      <c r="G50" s="55"/>
    </row>
  </sheetData>
  <mergeCells count="6">
    <mergeCell ref="A43:F43"/>
    <mergeCell ref="A3:G3"/>
    <mergeCell ref="A4:G4"/>
    <mergeCell ref="A6:G6"/>
    <mergeCell ref="A7:G7"/>
    <mergeCell ref="A9:A10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Mangsir 070</vt:lpstr>
      <vt:lpstr>Poush 070</vt:lpstr>
      <vt:lpstr>Magh 2070</vt:lpstr>
      <vt:lpstr>Falgun 2070</vt:lpstr>
      <vt:lpstr>Chaitra 070</vt:lpstr>
      <vt:lpstr>Baishakh 071</vt:lpstr>
      <vt:lpstr>Jestha 071</vt:lpstr>
      <vt:lpstr>Asar 071</vt:lpstr>
      <vt:lpstr>'Mangsir 070'!Print_Area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Upendra</dc:creator>
  <cp:lastModifiedBy>Director</cp:lastModifiedBy>
  <cp:lastPrinted>2014-11-23T07:04:07Z</cp:lastPrinted>
  <dcterms:created xsi:type="dcterms:W3CDTF">2014-09-21T07:35:56Z</dcterms:created>
  <dcterms:modified xsi:type="dcterms:W3CDTF">2014-11-28T08:36:26Z</dcterms:modified>
</cp:coreProperties>
</file>